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norbert.mondek\d1298969\"/>
    </mc:Choice>
  </mc:AlternateContent>
  <xr:revisionPtr revIDLastSave="0" documentId="13_ncr:1_{28668699-032D-427D-96EE-CB8E63E78BCB}" xr6:coauthVersionLast="47" xr6:coauthVersionMax="47" xr10:uidLastSave="{00000000-0000-0000-0000-000000000000}"/>
  <bookViews>
    <workbookView xWindow="820" yWindow="-110" windowWidth="37690" windowHeight="21820" tabRatio="698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4" l="1"/>
  <c r="K36" i="4"/>
  <c r="L12" i="7"/>
  <c r="L13" i="7"/>
  <c r="L14" i="7"/>
  <c r="F34" i="3"/>
  <c r="F8" i="9"/>
  <c r="G34" i="3"/>
  <c r="G8" i="9" s="1"/>
  <c r="H34" i="3"/>
  <c r="I34" i="3"/>
  <c r="I8" i="9" s="1"/>
  <c r="J34" i="3"/>
  <c r="J8" i="9" s="1"/>
  <c r="K34" i="3"/>
  <c r="K8" i="9" s="1"/>
  <c r="L34" i="3"/>
  <c r="L8" i="9" s="1"/>
  <c r="M34" i="3"/>
  <c r="N34" i="3"/>
  <c r="N8" i="9" s="1"/>
  <c r="O34" i="3"/>
  <c r="P34" i="3"/>
  <c r="P8" i="9" s="1"/>
  <c r="Q34" i="3"/>
  <c r="Q8" i="9" s="1"/>
  <c r="R34" i="3"/>
  <c r="R8" i="9" s="1"/>
  <c r="S34" i="3"/>
  <c r="S8" i="9" s="1"/>
  <c r="T34" i="3"/>
  <c r="T8" i="9" s="1"/>
  <c r="U34" i="3"/>
  <c r="V34" i="3"/>
  <c r="V8" i="9" s="1"/>
  <c r="W34" i="3"/>
  <c r="X34" i="3"/>
  <c r="X8" i="9" s="1"/>
  <c r="E34" i="3"/>
  <c r="E8" i="9" s="1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I36" i="4"/>
  <c r="H36" i="4"/>
  <c r="G36" i="4"/>
  <c r="F36" i="4"/>
  <c r="E36" i="4"/>
  <c r="X27" i="3"/>
  <c r="X32" i="3" s="1"/>
  <c r="W27" i="3"/>
  <c r="W32" i="3" s="1"/>
  <c r="V27" i="3"/>
  <c r="V28" i="3" s="1"/>
  <c r="U27" i="3"/>
  <c r="U30" i="3" s="1"/>
  <c r="T27" i="3"/>
  <c r="T30" i="3" s="1"/>
  <c r="S27" i="3"/>
  <c r="S31" i="3" s="1"/>
  <c r="R27" i="3"/>
  <c r="R29" i="3" s="1"/>
  <c r="Q27" i="3"/>
  <c r="Q32" i="3" s="1"/>
  <c r="P27" i="3"/>
  <c r="P32" i="3" s="1"/>
  <c r="O27" i="3"/>
  <c r="O30" i="3" s="1"/>
  <c r="N27" i="3"/>
  <c r="N31" i="3" s="1"/>
  <c r="M27" i="3"/>
  <c r="M28" i="3" s="1"/>
  <c r="L27" i="3"/>
  <c r="L29" i="3" s="1"/>
  <c r="K27" i="3"/>
  <c r="K28" i="3" s="1"/>
  <c r="J27" i="3"/>
  <c r="J32" i="3" s="1"/>
  <c r="I27" i="3"/>
  <c r="I29" i="3" s="1"/>
  <c r="H27" i="3"/>
  <c r="H28" i="3" s="1"/>
  <c r="G27" i="3"/>
  <c r="G31" i="3" s="1"/>
  <c r="F27" i="3"/>
  <c r="F28" i="3" s="1"/>
  <c r="E27" i="3"/>
  <c r="E28" i="3" s="1"/>
  <c r="B22" i="7"/>
  <c r="B21" i="7"/>
  <c r="B20" i="7"/>
  <c r="B19" i="7"/>
  <c r="L11" i="7"/>
  <c r="M11" i="7" s="1"/>
  <c r="Q11" i="7" s="1"/>
  <c r="O6" i="5"/>
  <c r="L10" i="7"/>
  <c r="L9" i="7"/>
  <c r="L8" i="7"/>
  <c r="M8" i="7" s="1"/>
  <c r="Q8" i="7" s="1"/>
  <c r="L7" i="7"/>
  <c r="M7" i="7"/>
  <c r="Q7" i="7" s="1"/>
  <c r="H7" i="9"/>
  <c r="O8" i="9"/>
  <c r="U8" i="9"/>
  <c r="W8" i="9"/>
  <c r="N20" i="3"/>
  <c r="N12" i="9" s="1"/>
  <c r="O20" i="3"/>
  <c r="O12" i="9"/>
  <c r="P20" i="3"/>
  <c r="P12" i="9"/>
  <c r="Q20" i="3"/>
  <c r="Q21" i="3"/>
  <c r="Q13" i="9" s="1"/>
  <c r="R20" i="3"/>
  <c r="R12" i="9" s="1"/>
  <c r="S20" i="3"/>
  <c r="S12" i="9" s="1"/>
  <c r="T20" i="3"/>
  <c r="T12" i="9" s="1"/>
  <c r="U20" i="3"/>
  <c r="U12" i="9" s="1"/>
  <c r="V20" i="3"/>
  <c r="V12" i="9" s="1"/>
  <c r="W20" i="3"/>
  <c r="W12" i="9" s="1"/>
  <c r="X20" i="3"/>
  <c r="X12" i="9" s="1"/>
  <c r="E20" i="3"/>
  <c r="E12" i="9" s="1"/>
  <c r="F20" i="3"/>
  <c r="F12" i="9" s="1"/>
  <c r="G20" i="3"/>
  <c r="G12" i="9" s="1"/>
  <c r="H20" i="3"/>
  <c r="H21" i="3" s="1"/>
  <c r="H13" i="9" s="1"/>
  <c r="I20" i="3"/>
  <c r="I12" i="9" s="1"/>
  <c r="J20" i="3"/>
  <c r="J12" i="9" s="1"/>
  <c r="K20" i="3"/>
  <c r="K12" i="9" s="1"/>
  <c r="L20" i="3"/>
  <c r="L21" i="3" s="1"/>
  <c r="L13" i="9" s="1"/>
  <c r="M20" i="3"/>
  <c r="M12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X22" i="9" s="1"/>
  <c r="R47" i="4"/>
  <c r="R17" i="9" s="1"/>
  <c r="S47" i="4"/>
  <c r="S17" i="9"/>
  <c r="T47" i="4"/>
  <c r="T17" i="9"/>
  <c r="U47" i="4"/>
  <c r="U17" i="9"/>
  <c r="V47" i="4"/>
  <c r="V17" i="9"/>
  <c r="W47" i="4"/>
  <c r="W17" i="9"/>
  <c r="W22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R21" i="3"/>
  <c r="R13" i="9"/>
  <c r="S21" i="3"/>
  <c r="S13" i="9"/>
  <c r="T21" i="3"/>
  <c r="T13" i="9"/>
  <c r="U21" i="3"/>
  <c r="U13" i="9"/>
  <c r="V21" i="3"/>
  <c r="V13" i="9"/>
  <c r="W21" i="3"/>
  <c r="W13" i="9"/>
  <c r="X21" i="3"/>
  <c r="X13" i="9"/>
  <c r="M21" i="3"/>
  <c r="M13" i="9" s="1"/>
  <c r="L7" i="9"/>
  <c r="K7" i="9"/>
  <c r="T4" i="5"/>
  <c r="R37" i="3"/>
  <c r="V37" i="3"/>
  <c r="V19" i="9"/>
  <c r="V23" i="9" s="1"/>
  <c r="W37" i="3"/>
  <c r="W19" i="9"/>
  <c r="M14" i="7"/>
  <c r="Q14" i="7" s="1"/>
  <c r="M13" i="7"/>
  <c r="Q13" i="7" s="1"/>
  <c r="M10" i="7"/>
  <c r="Q10" i="7" s="1"/>
  <c r="M9" i="7"/>
  <c r="Q9" i="7" s="1"/>
  <c r="K12" i="5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28" i="9" s="1"/>
  <c r="W4" i="9"/>
  <c r="W28" i="9"/>
  <c r="V4" i="9"/>
  <c r="V11" i="9"/>
  <c r="U4" i="9"/>
  <c r="U28" i="9"/>
  <c r="T4" i="9"/>
  <c r="T28" i="9"/>
  <c r="S4" i="9"/>
  <c r="S28" i="9" s="1"/>
  <c r="R4" i="9"/>
  <c r="R33" i="9"/>
  <c r="Q4" i="9"/>
  <c r="Q16" i="9"/>
  <c r="Q33" i="9"/>
  <c r="P4" i="9"/>
  <c r="O4" i="9"/>
  <c r="O11" i="9"/>
  <c r="N4" i="9"/>
  <c r="N28" i="9" s="1"/>
  <c r="N16" i="9"/>
  <c r="M4" i="9"/>
  <c r="M33" i="9" s="1"/>
  <c r="L4" i="9"/>
  <c r="L28" i="9" s="1"/>
  <c r="K4" i="9"/>
  <c r="K33" i="9" s="1"/>
  <c r="J4" i="9"/>
  <c r="J28" i="9" s="1"/>
  <c r="I4" i="9"/>
  <c r="I16" i="9" s="1"/>
  <c r="H4" i="9"/>
  <c r="H28" i="9" s="1"/>
  <c r="G4" i="9"/>
  <c r="G33" i="9" s="1"/>
  <c r="F4" i="9"/>
  <c r="F16" i="9" s="1"/>
  <c r="E4" i="9"/>
  <c r="E33" i="9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67" i="4" s="1"/>
  <c r="W18" i="5"/>
  <c r="V18" i="5"/>
  <c r="U18" i="5"/>
  <c r="T18" i="5"/>
  <c r="S18" i="5"/>
  <c r="R18" i="5"/>
  <c r="Q18" i="5"/>
  <c r="P18" i="5"/>
  <c r="O18" i="5"/>
  <c r="N18" i="5"/>
  <c r="M18" i="5"/>
  <c r="M20" i="5" s="1"/>
  <c r="N20" i="9" s="1"/>
  <c r="N21" i="9" s="1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T20" i="5" s="1"/>
  <c r="U20" i="9" s="1"/>
  <c r="U21" i="9" s="1"/>
  <c r="U22" i="9" s="1"/>
  <c r="S9" i="5"/>
  <c r="R9" i="5"/>
  <c r="Q9" i="5"/>
  <c r="P9" i="5"/>
  <c r="N9" i="5"/>
  <c r="N20" i="5"/>
  <c r="O20" i="9" s="1"/>
  <c r="O21" i="9" s="1"/>
  <c r="M9" i="5"/>
  <c r="L9" i="5"/>
  <c r="Q6" i="5"/>
  <c r="Q20" i="5" s="1"/>
  <c r="R20" i="9" s="1"/>
  <c r="R21" i="9" s="1"/>
  <c r="U6" i="5"/>
  <c r="U20" i="5" s="1"/>
  <c r="V6" i="5"/>
  <c r="M12" i="7"/>
  <c r="Q12" i="7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L30" i="4"/>
  <c r="L42" i="4" s="1"/>
  <c r="M30" i="4"/>
  <c r="M42" i="4" s="1"/>
  <c r="N30" i="4"/>
  <c r="N42" i="4" s="1"/>
  <c r="N47" i="4"/>
  <c r="N17" i="9" s="1"/>
  <c r="O30" i="4"/>
  <c r="O42" i="4"/>
  <c r="O47" i="4"/>
  <c r="O17" i="9"/>
  <c r="P30" i="4"/>
  <c r="P42" i="4" s="1"/>
  <c r="P47" i="4"/>
  <c r="P17" i="9"/>
  <c r="Q30" i="4"/>
  <c r="Q42" i="4"/>
  <c r="Q47" i="4"/>
  <c r="Q17" i="9"/>
  <c r="R30" i="4"/>
  <c r="R42" i="4"/>
  <c r="S30" i="4"/>
  <c r="S42" i="4" s="1"/>
  <c r="T30" i="4"/>
  <c r="T42" i="4"/>
  <c r="U30" i="4"/>
  <c r="U42" i="4"/>
  <c r="V30" i="4"/>
  <c r="V42" i="4"/>
  <c r="W30" i="4"/>
  <c r="W42" i="4"/>
  <c r="X30" i="4"/>
  <c r="X42" i="4"/>
  <c r="G31" i="4"/>
  <c r="G54" i="4" s="1"/>
  <c r="H31" i="4"/>
  <c r="H56" i="4" s="1"/>
  <c r="I31" i="4"/>
  <c r="I52" i="4" s="1"/>
  <c r="J31" i="4"/>
  <c r="J52" i="4" s="1"/>
  <c r="K31" i="4"/>
  <c r="K41" i="4" s="1"/>
  <c r="L31" i="4"/>
  <c r="L53" i="4" s="1"/>
  <c r="M31" i="4"/>
  <c r="M75" i="4" s="1"/>
  <c r="N31" i="4"/>
  <c r="N74" i="4" s="1"/>
  <c r="O31" i="4"/>
  <c r="O60" i="4" s="1"/>
  <c r="O65" i="4"/>
  <c r="P31" i="4"/>
  <c r="P64" i="4"/>
  <c r="Q31" i="4"/>
  <c r="Q62" i="4"/>
  <c r="R31" i="4"/>
  <c r="R51" i="4" s="1"/>
  <c r="S31" i="4"/>
  <c r="T31" i="4"/>
  <c r="T73" i="4" s="1"/>
  <c r="U31" i="4"/>
  <c r="U67" i="4" s="1"/>
  <c r="V31" i="4"/>
  <c r="V72" i="4" s="1"/>
  <c r="W31" i="4"/>
  <c r="W72" i="4" s="1"/>
  <c r="X31" i="4"/>
  <c r="X79" i="4" s="1"/>
  <c r="X53" i="4"/>
  <c r="F30" i="4"/>
  <c r="F42" i="4" s="1"/>
  <c r="E31" i="4"/>
  <c r="E67" i="4" s="1"/>
  <c r="E64" i="4"/>
  <c r="E30" i="4"/>
  <c r="E42" i="4" s="1"/>
  <c r="O7" i="9"/>
  <c r="T78" i="4"/>
  <c r="T67" i="4"/>
  <c r="T79" i="4"/>
  <c r="N7" i="9"/>
  <c r="X37" i="3"/>
  <c r="X19" i="9" s="1"/>
  <c r="S37" i="3"/>
  <c r="S19" i="9" s="1"/>
  <c r="S6" i="5"/>
  <c r="T37" i="3"/>
  <c r="T19" i="9" s="1"/>
  <c r="T36" i="9" s="1"/>
  <c r="J12" i="5"/>
  <c r="W6" i="5"/>
  <c r="U37" i="3"/>
  <c r="L6" i="5"/>
  <c r="L20" i="5" s="1"/>
  <c r="M20" i="9" s="1"/>
  <c r="M21" i="9" s="1"/>
  <c r="R6" i="5"/>
  <c r="R20" i="5" s="1"/>
  <c r="S20" i="9" s="1"/>
  <c r="S21" i="9" s="1"/>
  <c r="V76" i="4"/>
  <c r="U68" i="4"/>
  <c r="X73" i="4"/>
  <c r="T53" i="4"/>
  <c r="T63" i="4"/>
  <c r="T55" i="4"/>
  <c r="T76" i="4"/>
  <c r="T68" i="4"/>
  <c r="X75" i="4"/>
  <c r="X60" i="4"/>
  <c r="T56" i="4"/>
  <c r="T72" i="4"/>
  <c r="T62" i="4"/>
  <c r="T70" i="4"/>
  <c r="T61" i="4"/>
  <c r="X74" i="4"/>
  <c r="T77" i="4"/>
  <c r="T60" i="4"/>
  <c r="X66" i="4"/>
  <c r="X54" i="4"/>
  <c r="T75" i="4"/>
  <c r="R16" i="9"/>
  <c r="K9" i="5"/>
  <c r="W63" i="4"/>
  <c r="W74" i="4"/>
  <c r="T41" i="4"/>
  <c r="S77" i="4"/>
  <c r="T69" i="4"/>
  <c r="U59" i="4"/>
  <c r="W41" i="4"/>
  <c r="S53" i="4"/>
  <c r="O33" i="9"/>
  <c r="W11" i="9"/>
  <c r="U11" i="9"/>
  <c r="W33" i="9"/>
  <c r="W16" i="9"/>
  <c r="T11" i="9"/>
  <c r="R11" i="9"/>
  <c r="R28" i="9"/>
  <c r="T28" i="3"/>
  <c r="T32" i="3"/>
  <c r="T33" i="3" s="1"/>
  <c r="T35" i="3" s="1"/>
  <c r="T29" i="3"/>
  <c r="T31" i="3"/>
  <c r="Q30" i="3"/>
  <c r="O9" i="5"/>
  <c r="O20" i="5" s="1"/>
  <c r="P20" i="9" s="1"/>
  <c r="P21" i="9" s="1"/>
  <c r="N6" i="5"/>
  <c r="S58" i="4"/>
  <c r="S72" i="4"/>
  <c r="S71" i="4"/>
  <c r="S69" i="4"/>
  <c r="S64" i="4"/>
  <c r="S56" i="4"/>
  <c r="S75" i="4"/>
  <c r="S62" i="4"/>
  <c r="S55" i="4"/>
  <c r="S66" i="4"/>
  <c r="S52" i="4"/>
  <c r="S68" i="4"/>
  <c r="S70" i="4"/>
  <c r="S54" i="4"/>
  <c r="S60" i="4"/>
  <c r="S59" i="4"/>
  <c r="S79" i="4"/>
  <c r="T33" i="9"/>
  <c r="P6" i="5"/>
  <c r="P20" i="5"/>
  <c r="Q20" i="9" s="1"/>
  <c r="Q21" i="9" s="1"/>
  <c r="M6" i="5"/>
  <c r="S57" i="4"/>
  <c r="J9" i="5"/>
  <c r="S63" i="4"/>
  <c r="P16" i="9"/>
  <c r="P33" i="9"/>
  <c r="S80" i="4"/>
  <c r="P30" i="3"/>
  <c r="P29" i="3"/>
  <c r="P31" i="3"/>
  <c r="S78" i="4"/>
  <c r="S41" i="4"/>
  <c r="V51" i="4"/>
  <c r="V63" i="4"/>
  <c r="V53" i="4"/>
  <c r="V69" i="4"/>
  <c r="V65" i="4"/>
  <c r="R68" i="4"/>
  <c r="R65" i="4"/>
  <c r="V54" i="4"/>
  <c r="R60" i="4"/>
  <c r="U60" i="4"/>
  <c r="U55" i="4"/>
  <c r="U53" i="4"/>
  <c r="P59" i="4"/>
  <c r="V78" i="4"/>
  <c r="V70" i="4"/>
  <c r="X31" i="3"/>
  <c r="Q28" i="3"/>
  <c r="W30" i="3"/>
  <c r="R19" i="9"/>
  <c r="R36" i="9" s="1"/>
  <c r="R23" i="9"/>
  <c r="N21" i="3"/>
  <c r="N13" i="9" s="1"/>
  <c r="O32" i="3"/>
  <c r="L32" i="3"/>
  <c r="U29" i="3"/>
  <c r="O29" i="3"/>
  <c r="P21" i="3"/>
  <c r="P13" i="9" s="1"/>
  <c r="U28" i="3"/>
  <c r="V29" i="3"/>
  <c r="V32" i="3"/>
  <c r="V33" i="3" s="1"/>
  <c r="V35" i="3" s="1"/>
  <c r="V31" i="3"/>
  <c r="O21" i="3"/>
  <c r="O13" i="9"/>
  <c r="S30" i="3"/>
  <c r="O28" i="3"/>
  <c r="V30" i="3"/>
  <c r="W36" i="9"/>
  <c r="W23" i="9"/>
  <c r="V36" i="9"/>
  <c r="R32" i="3"/>
  <c r="X28" i="3"/>
  <c r="X30" i="3"/>
  <c r="U19" i="9"/>
  <c r="U23" i="9" s="1"/>
  <c r="S32" i="3"/>
  <c r="N29" i="3"/>
  <c r="N30" i="3"/>
  <c r="W29" i="3"/>
  <c r="U31" i="3"/>
  <c r="R31" i="3"/>
  <c r="N28" i="3"/>
  <c r="R28" i="3"/>
  <c r="M8" i="9"/>
  <c r="R30" i="3"/>
  <c r="W28" i="3"/>
  <c r="S29" i="3"/>
  <c r="O31" i="3"/>
  <c r="S28" i="3"/>
  <c r="W20" i="5"/>
  <c r="X20" i="9" s="1"/>
  <c r="X21" i="9" s="1"/>
  <c r="V20" i="9"/>
  <c r="V21" i="9" s="1"/>
  <c r="S20" i="5"/>
  <c r="T20" i="9" s="1"/>
  <c r="V20" i="5"/>
  <c r="W20" i="9"/>
  <c r="W21" i="9" s="1"/>
  <c r="Q37" i="3"/>
  <c r="Q19" i="9"/>
  <c r="Q36" i="9" s="1"/>
  <c r="V73" i="4"/>
  <c r="U79" i="4"/>
  <c r="V74" i="4"/>
  <c r="U66" i="4"/>
  <c r="W79" i="4"/>
  <c r="U57" i="4"/>
  <c r="W62" i="4"/>
  <c r="U61" i="4"/>
  <c r="Q67" i="4"/>
  <c r="T71" i="4"/>
  <c r="U72" i="4"/>
  <c r="T57" i="4"/>
  <c r="W68" i="4"/>
  <c r="T59" i="4"/>
  <c r="U52" i="4"/>
  <c r="W70" i="4"/>
  <c r="W75" i="4"/>
  <c r="W77" i="4"/>
  <c r="V80" i="4"/>
  <c r="X52" i="4"/>
  <c r="V57" i="4"/>
  <c r="V68" i="4"/>
  <c r="U33" i="9"/>
  <c r="U63" i="4"/>
  <c r="W55" i="4"/>
  <c r="U58" i="4"/>
  <c r="U54" i="4"/>
  <c r="W59" i="4"/>
  <c r="X61" i="4"/>
  <c r="X62" i="4"/>
  <c r="X64" i="4"/>
  <c r="X67" i="4"/>
  <c r="X69" i="4"/>
  <c r="X65" i="4"/>
  <c r="V79" i="4"/>
  <c r="V58" i="4"/>
  <c r="U51" i="4"/>
  <c r="U70" i="4"/>
  <c r="X58" i="4"/>
  <c r="X68" i="4"/>
  <c r="X56" i="4"/>
  <c r="T54" i="4"/>
  <c r="X76" i="4"/>
  <c r="X55" i="4"/>
  <c r="X63" i="4"/>
  <c r="U64" i="4"/>
  <c r="W60" i="4"/>
  <c r="O61" i="4"/>
  <c r="X72" i="4"/>
  <c r="U62" i="4"/>
  <c r="W78" i="4"/>
  <c r="U77" i="4"/>
  <c r="V33" i="9"/>
  <c r="V66" i="4"/>
  <c r="R76" i="4"/>
  <c r="R79" i="4"/>
  <c r="T80" i="4"/>
  <c r="P57" i="4"/>
  <c r="V28" i="9"/>
  <c r="P58" i="4"/>
  <c r="R69" i="4"/>
  <c r="P76" i="4"/>
  <c r="V16" i="9"/>
  <c r="P51" i="4"/>
  <c r="O57" i="4"/>
  <c r="U16" i="9"/>
  <c r="P74" i="4"/>
  <c r="P71" i="4"/>
  <c r="E11" i="9"/>
  <c r="Q12" i="9"/>
  <c r="O37" i="3"/>
  <c r="O19" i="9" s="1"/>
  <c r="O23" i="9" s="1"/>
  <c r="N37" i="3"/>
  <c r="N19" i="9" s="1"/>
  <c r="P37" i="3"/>
  <c r="P19" i="9" s="1"/>
  <c r="P36" i="9" s="1"/>
  <c r="E30" i="3"/>
  <c r="E32" i="3"/>
  <c r="G67" i="4"/>
  <c r="F55" i="4"/>
  <c r="F57" i="4"/>
  <c r="F63" i="4"/>
  <c r="F65" i="4"/>
  <c r="F61" i="4"/>
  <c r="F73" i="4"/>
  <c r="Q46" i="4"/>
  <c r="Q18" i="9" s="1"/>
  <c r="O46" i="4"/>
  <c r="O18" i="9" s="1"/>
  <c r="O22" i="9" s="1"/>
  <c r="H11" i="9"/>
  <c r="H33" i="9"/>
  <c r="E28" i="9"/>
  <c r="E55" i="4"/>
  <c r="E73" i="4"/>
  <c r="E62" i="4"/>
  <c r="E59" i="4"/>
  <c r="E72" i="4"/>
  <c r="T21" i="9"/>
  <c r="T23" i="9"/>
  <c r="I6" i="5"/>
  <c r="J6" i="5"/>
  <c r="D6" i="5"/>
  <c r="K6" i="5"/>
  <c r="K20" i="5" s="1"/>
  <c r="L20" i="9" s="1"/>
  <c r="L21" i="9" s="1"/>
  <c r="E6" i="5"/>
  <c r="G6" i="5"/>
  <c r="S22" i="9"/>
  <c r="N46" i="4"/>
  <c r="N18" i="9" s="1"/>
  <c r="S11" i="9"/>
  <c r="W56" i="4"/>
  <c r="P41" i="4"/>
  <c r="P46" i="4"/>
  <c r="P18" i="9" s="1"/>
  <c r="P62" i="4"/>
  <c r="P65" i="4"/>
  <c r="P78" i="4"/>
  <c r="S33" i="9"/>
  <c r="S51" i="4"/>
  <c r="S73" i="4"/>
  <c r="S67" i="4"/>
  <c r="S76" i="4"/>
  <c r="S61" i="4"/>
  <c r="S65" i="4"/>
  <c r="S74" i="4"/>
  <c r="S16" i="9"/>
  <c r="N55" i="4"/>
  <c r="K72" i="4"/>
  <c r="K65" i="4"/>
  <c r="W67" i="4"/>
  <c r="W61" i="4"/>
  <c r="W80" i="4"/>
  <c r="W65" i="4"/>
  <c r="W73" i="4"/>
  <c r="W54" i="4"/>
  <c r="W53" i="4"/>
  <c r="W57" i="4"/>
  <c r="W52" i="4"/>
  <c r="P28" i="9"/>
  <c r="P11" i="9"/>
  <c r="V41" i="4"/>
  <c r="V64" i="4"/>
  <c r="V59" i="4"/>
  <c r="V71" i="4"/>
  <c r="V75" i="4"/>
  <c r="V56" i="4"/>
  <c r="V62" i="4"/>
  <c r="V77" i="4"/>
  <c r="V61" i="4"/>
  <c r="N51" i="4"/>
  <c r="W69" i="4"/>
  <c r="U41" i="4"/>
  <c r="U76" i="4"/>
  <c r="U65" i="4"/>
  <c r="U78" i="4"/>
  <c r="U71" i="4"/>
  <c r="U69" i="4"/>
  <c r="U36" i="9"/>
  <c r="X33" i="9"/>
  <c r="X16" i="9"/>
  <c r="X11" i="9"/>
  <c r="T16" i="9"/>
  <c r="M11" i="9"/>
  <c r="F76" i="4"/>
  <c r="O70" i="4"/>
  <c r="O55" i="4"/>
  <c r="O36" i="9"/>
  <c r="H8" i="9"/>
  <c r="K73" i="4"/>
  <c r="K71" i="4"/>
  <c r="K54" i="4"/>
  <c r="P75" i="4"/>
  <c r="P68" i="4"/>
  <c r="O41" i="4"/>
  <c r="O56" i="4"/>
  <c r="P56" i="4"/>
  <c r="O66" i="4"/>
  <c r="O73" i="4"/>
  <c r="O76" i="4"/>
  <c r="P77" i="4"/>
  <c r="O75" i="4"/>
  <c r="Q22" i="9"/>
  <c r="O63" i="4"/>
  <c r="P79" i="4"/>
  <c r="P67" i="4"/>
  <c r="P52" i="4"/>
  <c r="P55" i="4"/>
  <c r="O69" i="4"/>
  <c r="O78" i="4"/>
  <c r="O79" i="4"/>
  <c r="O64" i="4"/>
  <c r="O67" i="4"/>
  <c r="O28" i="9"/>
  <c r="Q78" i="4"/>
  <c r="P69" i="4"/>
  <c r="P66" i="4"/>
  <c r="P63" i="4"/>
  <c r="O68" i="4"/>
  <c r="O54" i="4"/>
  <c r="O80" i="4"/>
  <c r="O62" i="4"/>
  <c r="O16" i="9"/>
  <c r="P61" i="4"/>
  <c r="O77" i="4"/>
  <c r="P53" i="4"/>
  <c r="P54" i="4"/>
  <c r="Q54" i="4"/>
  <c r="O72" i="4"/>
  <c r="O74" i="4"/>
  <c r="P60" i="4"/>
  <c r="P80" i="4"/>
  <c r="P70" i="4"/>
  <c r="P72" i="4"/>
  <c r="P73" i="4"/>
  <c r="O58" i="4"/>
  <c r="O59" i="4"/>
  <c r="N11" i="9"/>
  <c r="O53" i="4"/>
  <c r="F59" i="4"/>
  <c r="F60" i="4"/>
  <c r="F51" i="4"/>
  <c r="F56" i="4"/>
  <c r="F77" i="4"/>
  <c r="F78" i="4"/>
  <c r="F68" i="4"/>
  <c r="F62" i="4"/>
  <c r="F72" i="4"/>
  <c r="F69" i="4"/>
  <c r="F80" i="4"/>
  <c r="F79" i="4"/>
  <c r="F53" i="4"/>
  <c r="F41" i="4"/>
  <c r="F52" i="4"/>
  <c r="F74" i="4"/>
  <c r="F70" i="4"/>
  <c r="F64" i="4"/>
  <c r="F75" i="4"/>
  <c r="E16" i="9"/>
  <c r="Q73" i="4"/>
  <c r="Q52" i="4"/>
  <c r="Q53" i="4"/>
  <c r="Q63" i="4"/>
  <c r="Q76" i="4"/>
  <c r="Q41" i="4"/>
  <c r="Q11" i="9"/>
  <c r="Q51" i="4"/>
  <c r="Q60" i="4"/>
  <c r="N33" i="9"/>
  <c r="L54" i="4"/>
  <c r="Q56" i="4"/>
  <c r="Q57" i="4"/>
  <c r="Q64" i="4"/>
  <c r="Q70" i="4"/>
  <c r="Q69" i="4"/>
  <c r="Q66" i="4"/>
  <c r="Q77" i="4"/>
  <c r="Q55" i="4"/>
  <c r="Q72" i="4"/>
  <c r="Q68" i="4"/>
  <c r="Q71" i="4"/>
  <c r="Q61" i="4"/>
  <c r="Q80" i="4"/>
  <c r="Q75" i="4"/>
  <c r="Q59" i="4"/>
  <c r="L16" i="9"/>
  <c r="Q79" i="4"/>
  <c r="Q58" i="4"/>
  <c r="Q28" i="9"/>
  <c r="Q74" i="4"/>
  <c r="L65" i="4"/>
  <c r="Q65" i="4"/>
  <c r="K11" i="9"/>
  <c r="K51" i="4"/>
  <c r="E77" i="4"/>
  <c r="E71" i="4"/>
  <c r="E74" i="4"/>
  <c r="E58" i="4"/>
  <c r="E68" i="4"/>
  <c r="E69" i="4"/>
  <c r="E61" i="4"/>
  <c r="E54" i="4"/>
  <c r="E76" i="4"/>
  <c r="E56" i="4"/>
  <c r="E65" i="4"/>
  <c r="E70" i="4"/>
  <c r="E78" i="4"/>
  <c r="E52" i="4"/>
  <c r="E41" i="4"/>
  <c r="E53" i="4"/>
  <c r="E66" i="4"/>
  <c r="E57" i="4"/>
  <c r="E51" i="4"/>
  <c r="E63" i="4"/>
  <c r="E75" i="4"/>
  <c r="L28" i="3" l="1"/>
  <c r="L30" i="3"/>
  <c r="M30" i="3"/>
  <c r="M57" i="4"/>
  <c r="M61" i="4"/>
  <c r="M47" i="4"/>
  <c r="M17" i="9" s="1"/>
  <c r="L47" i="4"/>
  <c r="L17" i="9" s="1"/>
  <c r="J65" i="4"/>
  <c r="I57" i="4"/>
  <c r="H68" i="4"/>
  <c r="H66" i="4"/>
  <c r="H62" i="4"/>
  <c r="L12" i="9"/>
  <c r="N36" i="9"/>
  <c r="M32" i="3"/>
  <c r="M31" i="3"/>
  <c r="L46" i="4"/>
  <c r="L18" i="9" s="1"/>
  <c r="H12" i="9"/>
  <c r="J21" i="3"/>
  <c r="J13" i="9" s="1"/>
  <c r="J28" i="3"/>
  <c r="J30" i="3"/>
  <c r="K77" i="4"/>
  <c r="K75" i="4"/>
  <c r="K62" i="4"/>
  <c r="G11" i="9"/>
  <c r="J16" i="9"/>
  <c r="J33" i="9"/>
  <c r="J11" i="9"/>
  <c r="G29" i="3"/>
  <c r="G30" i="3"/>
  <c r="G32" i="3"/>
  <c r="G28" i="3"/>
  <c r="G28" i="9"/>
  <c r="G16" i="9"/>
  <c r="J55" i="4"/>
  <c r="I28" i="9"/>
  <c r="J41" i="4"/>
  <c r="J46" i="4" s="1"/>
  <c r="J18" i="9" s="1"/>
  <c r="K46" i="4"/>
  <c r="K18" i="9" s="1"/>
  <c r="J74" i="4"/>
  <c r="K21" i="3"/>
  <c r="K13" i="9" s="1"/>
  <c r="E21" i="3"/>
  <c r="E13" i="9" s="1"/>
  <c r="I21" i="3"/>
  <c r="I13" i="9" s="1"/>
  <c r="F21" i="3"/>
  <c r="F13" i="9" s="1"/>
  <c r="K31" i="3"/>
  <c r="K32" i="3"/>
  <c r="K29" i="3"/>
  <c r="K30" i="3"/>
  <c r="J29" i="3"/>
  <c r="J31" i="3"/>
  <c r="I28" i="3"/>
  <c r="I30" i="3"/>
  <c r="I31" i="3"/>
  <c r="H29" i="3"/>
  <c r="H31" i="3"/>
  <c r="H30" i="3"/>
  <c r="F29" i="3"/>
  <c r="F30" i="3"/>
  <c r="F32" i="3"/>
  <c r="F31" i="3"/>
  <c r="E31" i="3"/>
  <c r="E29" i="3"/>
  <c r="E46" i="4"/>
  <c r="E18" i="9" s="1"/>
  <c r="E47" i="4"/>
  <c r="E17" i="9" s="1"/>
  <c r="G47" i="4"/>
  <c r="G17" i="9" s="1"/>
  <c r="K47" i="4"/>
  <c r="K17" i="9" s="1"/>
  <c r="F46" i="4"/>
  <c r="F18" i="9" s="1"/>
  <c r="I47" i="4"/>
  <c r="I17" i="9" s="1"/>
  <c r="H47" i="4"/>
  <c r="H17" i="9" s="1"/>
  <c r="F47" i="4"/>
  <c r="F17" i="9" s="1"/>
  <c r="I62" i="4"/>
  <c r="I56" i="4"/>
  <c r="I72" i="4"/>
  <c r="I67" i="4"/>
  <c r="K60" i="4"/>
  <c r="K63" i="4"/>
  <c r="K69" i="4"/>
  <c r="K53" i="4"/>
  <c r="K67" i="4"/>
  <c r="K78" i="4"/>
  <c r="K66" i="4"/>
  <c r="K57" i="4"/>
  <c r="K59" i="4"/>
  <c r="K70" i="4"/>
  <c r="K80" i="4"/>
  <c r="K76" i="4"/>
  <c r="K64" i="4"/>
  <c r="K74" i="4"/>
  <c r="F11" i="9"/>
  <c r="I69" i="4"/>
  <c r="I70" i="4"/>
  <c r="I54" i="4"/>
  <c r="I59" i="4"/>
  <c r="G58" i="4"/>
  <c r="I51" i="4"/>
  <c r="I55" i="4"/>
  <c r="J71" i="4"/>
  <c r="H77" i="4"/>
  <c r="I58" i="4"/>
  <c r="I41" i="4"/>
  <c r="I46" i="4" s="1"/>
  <c r="I18" i="9" s="1"/>
  <c r="I64" i="4"/>
  <c r="J62" i="4"/>
  <c r="H59" i="4"/>
  <c r="I75" i="4"/>
  <c r="I80" i="4"/>
  <c r="J54" i="4"/>
  <c r="I71" i="4"/>
  <c r="H71" i="4"/>
  <c r="I76" i="4"/>
  <c r="H65" i="4"/>
  <c r="J67" i="4"/>
  <c r="H54" i="4"/>
  <c r="I66" i="4"/>
  <c r="I74" i="4"/>
  <c r="H61" i="4"/>
  <c r="I78" i="4"/>
  <c r="J76" i="4"/>
  <c r="I68" i="4"/>
  <c r="H41" i="4"/>
  <c r="H46" i="4" s="1"/>
  <c r="H18" i="9" s="1"/>
  <c r="H69" i="4"/>
  <c r="J68" i="4"/>
  <c r="I61" i="4"/>
  <c r="J61" i="4"/>
  <c r="J69" i="4"/>
  <c r="H63" i="4"/>
  <c r="I65" i="4"/>
  <c r="I53" i="4"/>
  <c r="I63" i="4"/>
  <c r="G70" i="4"/>
  <c r="H60" i="4"/>
  <c r="K79" i="4"/>
  <c r="J77" i="4"/>
  <c r="J63" i="4"/>
  <c r="J79" i="4"/>
  <c r="J53" i="4"/>
  <c r="J75" i="4"/>
  <c r="J72" i="4"/>
  <c r="J56" i="4"/>
  <c r="J70" i="4"/>
  <c r="J60" i="4"/>
  <c r="J64" i="4"/>
  <c r="J78" i="4"/>
  <c r="J73" i="4"/>
  <c r="J80" i="4"/>
  <c r="I77" i="4"/>
  <c r="N77" i="4"/>
  <c r="N63" i="4"/>
  <c r="N65" i="4"/>
  <c r="N66" i="4"/>
  <c r="N76" i="4"/>
  <c r="N54" i="4"/>
  <c r="N62" i="4"/>
  <c r="N75" i="4"/>
  <c r="N64" i="4"/>
  <c r="N53" i="4"/>
  <c r="N71" i="4"/>
  <c r="N59" i="4"/>
  <c r="N78" i="4"/>
  <c r="N52" i="4"/>
  <c r="N60" i="4"/>
  <c r="N73" i="4"/>
  <c r="N79" i="4"/>
  <c r="N61" i="4"/>
  <c r="N56" i="4"/>
  <c r="N68" i="4"/>
  <c r="M67" i="4"/>
  <c r="M41" i="4"/>
  <c r="M46" i="4" s="1"/>
  <c r="M18" i="9" s="1"/>
  <c r="M22" i="9" s="1"/>
  <c r="M74" i="4"/>
  <c r="M56" i="4"/>
  <c r="M76" i="4"/>
  <c r="M64" i="4"/>
  <c r="M51" i="4"/>
  <c r="M52" i="4"/>
  <c r="M63" i="4"/>
  <c r="M69" i="4"/>
  <c r="M60" i="4"/>
  <c r="M80" i="4"/>
  <c r="M59" i="4"/>
  <c r="M62" i="4"/>
  <c r="M55" i="4"/>
  <c r="L61" i="4"/>
  <c r="L76" i="4"/>
  <c r="L71" i="4"/>
  <c r="L64" i="4"/>
  <c r="L73" i="4"/>
  <c r="L62" i="4"/>
  <c r="L68" i="4"/>
  <c r="L58" i="4"/>
  <c r="L41" i="4"/>
  <c r="L72" i="4"/>
  <c r="L70" i="4"/>
  <c r="L69" i="4"/>
  <c r="G77" i="4"/>
  <c r="G72" i="4"/>
  <c r="G69" i="4"/>
  <c r="G53" i="4"/>
  <c r="G59" i="4"/>
  <c r="G55" i="4"/>
  <c r="G78" i="4"/>
  <c r="G52" i="4"/>
  <c r="J51" i="4"/>
  <c r="G41" i="4"/>
  <c r="G46" i="4" s="1"/>
  <c r="G18" i="9" s="1"/>
  <c r="G62" i="4"/>
  <c r="G66" i="4"/>
  <c r="G65" i="4"/>
  <c r="N41" i="4"/>
  <c r="N70" i="4"/>
  <c r="N80" i="4"/>
  <c r="N58" i="4"/>
  <c r="N69" i="4"/>
  <c r="N72" i="4"/>
  <c r="N57" i="4"/>
  <c r="N67" i="4"/>
  <c r="N22" i="9"/>
  <c r="M70" i="4"/>
  <c r="M54" i="4"/>
  <c r="M78" i="4"/>
  <c r="M71" i="4"/>
  <c r="M68" i="4"/>
  <c r="M66" i="4"/>
  <c r="M58" i="4"/>
  <c r="M72" i="4"/>
  <c r="M77" i="4"/>
  <c r="M79" i="4"/>
  <c r="M53" i="4"/>
  <c r="M73" i="4"/>
  <c r="M65" i="4"/>
  <c r="L79" i="4"/>
  <c r="L74" i="4"/>
  <c r="L59" i="4"/>
  <c r="L51" i="4"/>
  <c r="L78" i="4"/>
  <c r="L55" i="4"/>
  <c r="L56" i="4"/>
  <c r="L60" i="4"/>
  <c r="L63" i="4"/>
  <c r="L67" i="4"/>
  <c r="L75" i="4"/>
  <c r="K56" i="4"/>
  <c r="K58" i="4"/>
  <c r="K61" i="4"/>
  <c r="K55" i="4"/>
  <c r="K52" i="4"/>
  <c r="H79" i="4"/>
  <c r="H76" i="4"/>
  <c r="H53" i="4"/>
  <c r="H55" i="4"/>
  <c r="H72" i="4"/>
  <c r="H74" i="4"/>
  <c r="H57" i="4"/>
  <c r="H75" i="4"/>
  <c r="H52" i="4"/>
  <c r="H51" i="4"/>
  <c r="H80" i="4"/>
  <c r="H58" i="4"/>
  <c r="H78" i="4"/>
  <c r="H64" i="4"/>
  <c r="H70" i="4"/>
  <c r="H67" i="4"/>
  <c r="H73" i="4"/>
  <c r="G76" i="4"/>
  <c r="G73" i="4"/>
  <c r="G57" i="4"/>
  <c r="G61" i="4"/>
  <c r="G51" i="4"/>
  <c r="G68" i="4"/>
  <c r="G79" i="4"/>
  <c r="G71" i="4"/>
  <c r="G74" i="4"/>
  <c r="G64" i="4"/>
  <c r="G60" i="4"/>
  <c r="M16" i="9"/>
  <c r="L33" i="9"/>
  <c r="L11" i="9"/>
  <c r="M28" i="9"/>
  <c r="K28" i="9"/>
  <c r="K16" i="9"/>
  <c r="I11" i="9"/>
  <c r="I33" i="9"/>
  <c r="H16" i="9"/>
  <c r="F33" i="9"/>
  <c r="F28" i="9"/>
  <c r="P22" i="9"/>
  <c r="N23" i="9"/>
  <c r="P23" i="9"/>
  <c r="X33" i="3"/>
  <c r="X35" i="3" s="1"/>
  <c r="S36" i="9"/>
  <c r="S23" i="9"/>
  <c r="X23" i="9"/>
  <c r="X36" i="9"/>
  <c r="T22" i="9"/>
  <c r="T30" i="9" s="1"/>
  <c r="O29" i="9"/>
  <c r="O30" i="9"/>
  <c r="O35" i="9" s="1"/>
  <c r="O37" i="9" s="1"/>
  <c r="O38" i="9" s="1"/>
  <c r="O33" i="3"/>
  <c r="O35" i="3" s="1"/>
  <c r="J20" i="5"/>
  <c r="K20" i="9" s="1"/>
  <c r="S33" i="3"/>
  <c r="S35" i="3" s="1"/>
  <c r="H6" i="5"/>
  <c r="F6" i="5"/>
  <c r="U30" i="9"/>
  <c r="U35" i="9" s="1"/>
  <c r="U37" i="9" s="1"/>
  <c r="U38" i="9" s="1"/>
  <c r="U29" i="9"/>
  <c r="W30" i="9"/>
  <c r="W35" i="9" s="1"/>
  <c r="W37" i="9" s="1"/>
  <c r="W38" i="9" s="1"/>
  <c r="W29" i="9"/>
  <c r="Q23" i="9"/>
  <c r="E9" i="5"/>
  <c r="E20" i="5" s="1"/>
  <c r="F20" i="9" s="1"/>
  <c r="I9" i="5"/>
  <c r="I20" i="5" s="1"/>
  <c r="J20" i="9" s="1"/>
  <c r="F9" i="5"/>
  <c r="G9" i="5"/>
  <c r="G20" i="5" s="1"/>
  <c r="H20" i="9" s="1"/>
  <c r="D9" i="5"/>
  <c r="D20" i="5" s="1"/>
  <c r="E20" i="9" s="1"/>
  <c r="H9" i="5"/>
  <c r="V22" i="9"/>
  <c r="V29" i="9" s="1"/>
  <c r="R33" i="3"/>
  <c r="R35" i="3" s="1"/>
  <c r="R22" i="9"/>
  <c r="R30" i="9" s="1"/>
  <c r="R53" i="4"/>
  <c r="R74" i="4"/>
  <c r="X80" i="4"/>
  <c r="R52" i="4"/>
  <c r="W64" i="4"/>
  <c r="J66" i="4"/>
  <c r="J58" i="4"/>
  <c r="E80" i="4"/>
  <c r="E79" i="4"/>
  <c r="L77" i="4"/>
  <c r="J57" i="4"/>
  <c r="I73" i="4"/>
  <c r="I79" i="4"/>
  <c r="F58" i="4"/>
  <c r="F66" i="4"/>
  <c r="O52" i="4"/>
  <c r="U80" i="4"/>
  <c r="W76" i="4"/>
  <c r="E60" i="4"/>
  <c r="G56" i="4"/>
  <c r="G63" i="4"/>
  <c r="H32" i="3"/>
  <c r="J59" i="4"/>
  <c r="W71" i="4"/>
  <c r="X57" i="4"/>
  <c r="I60" i="4"/>
  <c r="U75" i="4"/>
  <c r="W58" i="4"/>
  <c r="U73" i="4"/>
  <c r="I32" i="3"/>
  <c r="G21" i="3"/>
  <c r="G13" i="9" s="1"/>
  <c r="N32" i="3"/>
  <c r="N33" i="3" s="1"/>
  <c r="N35" i="3" s="1"/>
  <c r="M29" i="3"/>
  <c r="R80" i="4"/>
  <c r="R67" i="4"/>
  <c r="K68" i="4"/>
  <c r="L31" i="3"/>
  <c r="T58" i="4"/>
  <c r="T51" i="4"/>
  <c r="T65" i="4"/>
  <c r="R54" i="4"/>
  <c r="X71" i="4"/>
  <c r="Q29" i="3"/>
  <c r="W31" i="3"/>
  <c r="W33" i="3" s="1"/>
  <c r="W35" i="3" s="1"/>
  <c r="R66" i="4"/>
  <c r="R75" i="4"/>
  <c r="X41" i="4"/>
  <c r="X51" i="4"/>
  <c r="X70" i="4"/>
  <c r="R70" i="4"/>
  <c r="R63" i="4"/>
  <c r="L80" i="4"/>
  <c r="G80" i="4"/>
  <c r="F71" i="4"/>
  <c r="X29" i="3"/>
  <c r="R57" i="4"/>
  <c r="V52" i="4"/>
  <c r="R71" i="4"/>
  <c r="R41" i="4"/>
  <c r="Q31" i="3"/>
  <c r="Q33" i="3" s="1"/>
  <c r="Q35" i="3" s="1"/>
  <c r="W51" i="4"/>
  <c r="T64" i="4"/>
  <c r="T66" i="4"/>
  <c r="X77" i="4"/>
  <c r="U74" i="4"/>
  <c r="O71" i="4"/>
  <c r="W66" i="4"/>
  <c r="R56" i="4"/>
  <c r="R55" i="4"/>
  <c r="L52" i="4"/>
  <c r="X59" i="4"/>
  <c r="X78" i="4"/>
  <c r="R64" i="4"/>
  <c r="O51" i="4"/>
  <c r="V55" i="4"/>
  <c r="R58" i="4"/>
  <c r="R77" i="4"/>
  <c r="F54" i="4"/>
  <c r="L66" i="4"/>
  <c r="R62" i="4"/>
  <c r="U56" i="4"/>
  <c r="U32" i="3"/>
  <c r="U33" i="3" s="1"/>
  <c r="U35" i="3" s="1"/>
  <c r="V60" i="4"/>
  <c r="R78" i="4"/>
  <c r="V67" i="4"/>
  <c r="G75" i="4"/>
  <c r="R73" i="4"/>
  <c r="P28" i="3"/>
  <c r="P33" i="3" s="1"/>
  <c r="P35" i="3" s="1"/>
  <c r="R72" i="4"/>
  <c r="R59" i="4"/>
  <c r="R61" i="4"/>
  <c r="L57" i="4"/>
  <c r="T52" i="4"/>
  <c r="T74" i="4"/>
  <c r="L33" i="3" l="1"/>
  <c r="L35" i="3" s="1"/>
  <c r="L37" i="3" s="1"/>
  <c r="L19" i="9" s="1"/>
  <c r="L23" i="9" s="1"/>
  <c r="L22" i="9"/>
  <c r="M33" i="3"/>
  <c r="M35" i="3" s="1"/>
  <c r="M37" i="3" s="1"/>
  <c r="M19" i="9" s="1"/>
  <c r="G33" i="3"/>
  <c r="G35" i="3" s="1"/>
  <c r="G37" i="3" s="1"/>
  <c r="G19" i="9" s="1"/>
  <c r="G36" i="9" s="1"/>
  <c r="J33" i="3"/>
  <c r="J35" i="3" s="1"/>
  <c r="J37" i="3" s="1"/>
  <c r="J19" i="9" s="1"/>
  <c r="J23" i="9" s="1"/>
  <c r="E33" i="3"/>
  <c r="E35" i="3" s="1"/>
  <c r="E37" i="3" s="1"/>
  <c r="E19" i="9" s="1"/>
  <c r="E23" i="9" s="1"/>
  <c r="K33" i="3"/>
  <c r="K35" i="3" s="1"/>
  <c r="K37" i="3" s="1"/>
  <c r="K19" i="9" s="1"/>
  <c r="I33" i="3"/>
  <c r="I35" i="3" s="1"/>
  <c r="I37" i="3" s="1"/>
  <c r="I19" i="9" s="1"/>
  <c r="I23" i="9" s="1"/>
  <c r="H33" i="3"/>
  <c r="H35" i="3" s="1"/>
  <c r="H37" i="3" s="1"/>
  <c r="H19" i="9" s="1"/>
  <c r="H23" i="9" s="1"/>
  <c r="F33" i="3"/>
  <c r="F35" i="3" s="1"/>
  <c r="F37" i="3" s="1"/>
  <c r="F19" i="9" s="1"/>
  <c r="D75" i="4"/>
  <c r="D54" i="4"/>
  <c r="D65" i="4"/>
  <c r="D77" i="4"/>
  <c r="D67" i="4"/>
  <c r="D71" i="4"/>
  <c r="D69" i="4"/>
  <c r="D62" i="4"/>
  <c r="D64" i="4"/>
  <c r="D57" i="4"/>
  <c r="D72" i="4"/>
  <c r="D66" i="4"/>
  <c r="D74" i="4"/>
  <c r="D70" i="4"/>
  <c r="D53" i="4"/>
  <c r="D78" i="4"/>
  <c r="D59" i="4"/>
  <c r="D55" i="4"/>
  <c r="D61" i="4"/>
  <c r="D52" i="4"/>
  <c r="D76" i="4"/>
  <c r="D63" i="4"/>
  <c r="D51" i="4"/>
  <c r="D68" i="4"/>
  <c r="T35" i="9"/>
  <c r="T37" i="9" s="1"/>
  <c r="T38" i="9" s="1"/>
  <c r="H21" i="9"/>
  <c r="H22" i="9" s="1"/>
  <c r="J21" i="9"/>
  <c r="J22" i="9" s="1"/>
  <c r="F21" i="9"/>
  <c r="F22" i="9" s="1"/>
  <c r="E21" i="9"/>
  <c r="E22" i="9" s="1"/>
  <c r="D58" i="4"/>
  <c r="K21" i="9"/>
  <c r="K22" i="9" s="1"/>
  <c r="V30" i="9"/>
  <c r="V35" i="9" s="1"/>
  <c r="V37" i="9" s="1"/>
  <c r="V38" i="9" s="1"/>
  <c r="T29" i="9"/>
  <c r="D79" i="4"/>
  <c r="D56" i="4"/>
  <c r="D80" i="4"/>
  <c r="R29" i="9"/>
  <c r="R35" i="9" s="1"/>
  <c r="R37" i="9" s="1"/>
  <c r="R38" i="9" s="1"/>
  <c r="P30" i="9"/>
  <c r="P35" i="9" s="1"/>
  <c r="P37" i="9" s="1"/>
  <c r="P38" i="9" s="1"/>
  <c r="P29" i="9"/>
  <c r="D60" i="4"/>
  <c r="X30" i="9"/>
  <c r="X35" i="9" s="1"/>
  <c r="X37" i="9" s="1"/>
  <c r="X38" i="9" s="1"/>
  <c r="X29" i="9"/>
  <c r="N29" i="9"/>
  <c r="N30" i="9"/>
  <c r="N35" i="9" s="1"/>
  <c r="N37" i="9" s="1"/>
  <c r="N38" i="9" s="1"/>
  <c r="F20" i="5"/>
  <c r="G20" i="9" s="1"/>
  <c r="D73" i="4"/>
  <c r="Q30" i="9"/>
  <c r="Q29" i="9"/>
  <c r="H20" i="5"/>
  <c r="I20" i="9" s="1"/>
  <c r="S30" i="9"/>
  <c r="S29" i="9"/>
  <c r="L36" i="9" l="1"/>
  <c r="L30" i="9"/>
  <c r="L29" i="9"/>
  <c r="M23" i="9"/>
  <c r="M36" i="9"/>
  <c r="G23" i="9"/>
  <c r="J36" i="9"/>
  <c r="E36" i="9"/>
  <c r="K23" i="9"/>
  <c r="K29" i="9" s="1"/>
  <c r="K36" i="9"/>
  <c r="I36" i="9"/>
  <c r="H36" i="9"/>
  <c r="F23" i="9"/>
  <c r="F30" i="9" s="1"/>
  <c r="F36" i="9"/>
  <c r="E29" i="9"/>
  <c r="E30" i="9"/>
  <c r="S35" i="9"/>
  <c r="S37" i="9" s="1"/>
  <c r="S38" i="9" s="1"/>
  <c r="J30" i="9"/>
  <c r="J29" i="9"/>
  <c r="H30" i="9"/>
  <c r="H29" i="9"/>
  <c r="I21" i="9"/>
  <c r="I22" i="9" s="1"/>
  <c r="Q35" i="9"/>
  <c r="Q37" i="9" s="1"/>
  <c r="Q38" i="9" s="1"/>
  <c r="G21" i="9"/>
  <c r="G22" i="9" s="1"/>
  <c r="L35" i="9" l="1"/>
  <c r="L37" i="9" s="1"/>
  <c r="L38" i="9" s="1"/>
  <c r="M30" i="9"/>
  <c r="M29" i="9"/>
  <c r="G29" i="9"/>
  <c r="K30" i="9"/>
  <c r="K35" i="9" s="1"/>
  <c r="K37" i="9" s="1"/>
  <c r="K38" i="9" s="1"/>
  <c r="F29" i="9"/>
  <c r="F35" i="9" s="1"/>
  <c r="F37" i="9" s="1"/>
  <c r="F38" i="9" s="1"/>
  <c r="E35" i="9"/>
  <c r="E37" i="9" s="1"/>
  <c r="E38" i="9" s="1"/>
  <c r="I30" i="9"/>
  <c r="I29" i="9"/>
  <c r="H35" i="9"/>
  <c r="H37" i="9" s="1"/>
  <c r="H38" i="9" s="1"/>
  <c r="J35" i="9"/>
  <c r="J37" i="9" s="1"/>
  <c r="J38" i="9" s="1"/>
  <c r="G30" i="9"/>
  <c r="M35" i="9" l="1"/>
  <c r="M37" i="9" s="1"/>
  <c r="M38" i="9" s="1"/>
  <c r="G35" i="9"/>
  <c r="G37" i="9" s="1"/>
  <c r="G38" i="9" s="1"/>
  <c r="I35" i="9"/>
  <c r="I37" i="9" s="1"/>
  <c r="I38" i="9" s="1"/>
</calcChain>
</file>

<file path=xl/sharedStrings.xml><?xml version="1.0" encoding="utf-8"?>
<sst xmlns="http://schemas.openxmlformats.org/spreadsheetml/2006/main" count="699" uniqueCount="400">
  <si>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</si>
  <si>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</si>
  <si>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</si>
  <si>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</si>
  <si>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</si>
  <si>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</si>
  <si>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</si>
  <si>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</si>
  <si>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</si>
  <si>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</si>
  <si>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</si>
  <si>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</si>
  <si>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</si>
  <si>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</si>
  <si>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</si>
  <si>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</si>
  <si>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</si>
  <si>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</si>
  <si>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</si>
  <si>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</si>
  <si>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</si>
  <si>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</si>
  <si>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</si>
  <si>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</si>
  <si>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</si>
  <si>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</si>
  <si>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</si>
  <si>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</si>
  <si>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</si>
  <si>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</si>
  <si>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</si>
  <si>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</si>
  <si>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</si>
  <si>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</si>
  <si>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</si>
  <si>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</si>
  <si>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</si>
  <si>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</si>
  <si>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</si>
  <si>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</si>
  <si>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</si>
  <si>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</si>
  <si>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</si>
  <si>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</si>
  <si>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</si>
  <si>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</si>
  <si>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</si>
  <si>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</si>
  <si>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</si>
  <si>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</si>
  <si>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</si>
  <si>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</si>
  <si>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</si>
  <si>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</si>
  <si>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</si>
  <si>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</si>
  <si>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</si>
  <si>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</si>
  <si>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</si>
  <si>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</si>
  <si>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</si>
  <si>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</si>
  <si>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</si>
  <si>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</si>
  <si>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</si>
  <si>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</si>
  <si>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</si>
  <si>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</si>
  <si>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</si>
  <si>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</si>
  <si>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</si>
  <si>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</si>
  <si>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</si>
  <si>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</si>
  <si>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</si>
  <si>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</si>
  <si>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</si>
  <si>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</si>
  <si>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</si>
  <si>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</si>
  <si>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</si>
  <si>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</si>
  <si>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</si>
  <si>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</si>
  <si>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</si>
  <si>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</si>
  <si>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</si>
  <si>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</si>
  <si>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</si>
  <si>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</si>
  <si>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</si>
  <si>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</si>
  <si>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</si>
  <si>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</si>
  <si>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</si>
  <si>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</si>
  <si>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</si>
  <si>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</si>
  <si>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</si>
  <si>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</si>
  <si>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</si>
  <si>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</si>
  <si>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</si>
  <si>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</si>
  <si>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</si>
  <si>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</si>
  <si>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</si>
  <si>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</si>
  <si>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</si>
  <si>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</si>
  <si>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</si>
  <si>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</si>
  <si>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</si>
  <si>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</si>
  <si>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</si>
  <si>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</si>
  <si>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</si>
  <si>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</si>
  <si>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</si>
  <si>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</si>
  <si>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</si>
  <si>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</si>
  <si>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</si>
  <si>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</si>
  <si>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</si>
  <si>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</si>
  <si>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</si>
  <si>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</si>
  <si>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</si>
  <si>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</si>
  <si>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</si>
  <si>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</si>
  <si>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</si>
  <si>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</si>
  <si>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</si>
  <si>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</si>
  <si>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</si>
  <si>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</si>
  <si>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</si>
  <si>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</si>
  <si>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</si>
  <si>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</si>
  <si>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</si>
  <si>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</si>
  <si>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</si>
  <si>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</si>
  <si>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</si>
  <si>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</si>
  <si>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</si>
  <si>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</si>
  <si>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</si>
  <si>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</si>
  <si>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</si>
  <si>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</si>
  <si>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</si>
  <si>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</si>
  <si>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</si>
  <si>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</si>
  <si>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</si>
  <si>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</si>
  <si>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</si>
  <si>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</si>
  <si>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</si>
  <si>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</si>
  <si>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</si>
  <si>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</si>
  <si>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</si>
  <si>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</si>
  <si>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</si>
  <si>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</si>
  <si>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</si>
  <si>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</si>
  <si>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</si>
  <si>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</si>
  <si>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</si>
  <si>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</si>
  <si>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</si>
  <si>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</si>
  <si>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</si>
  <si>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</si>
  <si>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</si>
  <si>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</si>
  <si>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</si>
  <si>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</si>
  <si>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</si>
  <si>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</si>
  <si>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</si>
  <si>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</si>
  <si>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</si>
  <si>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</si>
  <si>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</si>
  <si>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</si>
  <si>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</si>
  <si>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</si>
  <si>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</si>
  <si>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</si>
  <si>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</si>
  <si>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</si>
  <si>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</si>
  <si>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</si>
  <si>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</si>
  <si>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</si>
  <si>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</si>
  <si>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</si>
  <si>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</si>
  <si>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</si>
  <si>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</si>
  <si>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</si>
  <si>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</si>
  <si>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</si>
  <si>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</si>
  <si>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</si>
  <si>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</si>
  <si>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</si>
  <si>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</si>
  <si>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</si>
  <si>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</si>
  <si>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</si>
  <si>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</si>
  <si>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</si>
  <si>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</si>
  <si>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</si>
  <si>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</si>
  <si>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</si>
  <si>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</si>
  <si>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</si>
  <si>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</si>
  <si>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</si>
  <si>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</si>
  <si>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</si>
  <si>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</si>
  <si>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</si>
  <si>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</si>
  <si>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</si>
  <si>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</si>
  <si>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</si>
  <si>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</si>
  <si>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</si>
  <si>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</si>
  <si>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</si>
  <si>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</si>
  <si>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</si>
  <si>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</si>
  <si>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</si>
  <si>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</si>
  <si>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</si>
  <si>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</si>
  <si>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</si>
  <si>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</si>
  <si>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</si>
  <si>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</si>
  <si>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</si>
  <si>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</si>
  <si>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</si>
  <si>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</si>
  <si>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</si>
  <si>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</si>
  <si>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</si>
  <si>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</si>
  <si>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</si>
  <si>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</si>
  <si>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</si>
  <si>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</si>
  <si>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</si>
  <si>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</si>
  <si>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</si>
  <si>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</si>
  <si>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</si>
  <si>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</si>
  <si>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</si>
  <si>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</si>
  <si>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</si>
  <si>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</si>
  <si>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</si>
  <si>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</si>
  <si>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</si>
  <si>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</si>
  <si>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</si>
  <si>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</si>
  <si>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</si>
  <si>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</si>
  <si>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</si>
  <si>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</si>
  <si>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</si>
  <si>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</si>
  <si>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</si>
  <si>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</si>
  <si>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</si>
  <si>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</si>
  <si>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</si>
  <si>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</si>
  <si>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</si>
  <si>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</si>
  <si>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</si>
  <si>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</si>
  <si>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</si>
  <si>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</si>
  <si>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</si>
  <si>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</si>
  <si>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</si>
  <si>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</si>
  <si>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</si>
  <si>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</si>
  <si>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</si>
  <si>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</si>
  <si>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</si>
  <si>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</si>
  <si>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</si>
  <si>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</si>
  <si>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</si>
  <si>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</si>
  <si>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</si>
  <si>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</si>
  <si>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</si>
  <si>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</si>
  <si>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</si>
  <si>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</si>
  <si>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</si>
  <si>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</si>
  <si>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</si>
  <si>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</si>
  <si>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</si>
  <si>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</si>
  <si>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</si>
  <si>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</si>
  <si>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</si>
  <si>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</si>
  <si>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</si>
  <si>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</si>
  <si>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</si>
  <si>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</si>
  <si>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</si>
  <si>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</si>
  <si>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</si>
  <si>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</si>
  <si>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</si>
  <si>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</si>
  <si>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</si>
  <si>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</si>
  <si>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</si>
  <si>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</si>
  <si>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</si>
  <si>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</si>
  <si>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</si>
  <si>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</si>
  <si>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</si>
  <si>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</si>
  <si>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</si>
  <si>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</si>
  <si>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</si>
  <si>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</si>
  <si>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</si>
  <si>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</si>
  <si>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</si>
  <si>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</si>
  <si>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</si>
  <si>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</si>
  <si>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</si>
  <si>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</si>
  <si>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</si>
  <si>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</si>
  <si>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</si>
  <si>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</si>
  <si>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</si>
  <si>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</si>
  <si>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</si>
  <si>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</si>
  <si>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</si>
  <si>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</si>
  <si>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</si>
  <si>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</si>
  <si>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</si>
  <si>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</si>
  <si>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</si>
  <si>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</si>
  <si>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</si>
  <si>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</si>
  <si>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</si>
  <si>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</si>
  <si>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</si>
  <si>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</si>
  <si>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</si>
  <si>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</si>
  <si>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</si>
  <si>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</si>
  <si>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</si>
  <si>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</si>
  <si>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</si>
  <si>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Kiss160/4</t>
  </si>
  <si>
    <t>Předpokládaná jednotka</t>
  </si>
  <si>
    <t>ER20</t>
  </si>
  <si>
    <t>S4 Praha - Kralupy</t>
  </si>
  <si>
    <t>S40 Slaný - Kralupy</t>
  </si>
  <si>
    <t>S43 Kladno - Ml. Boleslav</t>
  </si>
  <si>
    <t>650+baterie</t>
  </si>
  <si>
    <t>Nex LB-PB</t>
  </si>
  <si>
    <t>R44b Slaný - Praha</t>
  </si>
  <si>
    <t>R44c Velvary - Praha</t>
  </si>
  <si>
    <t>R44a Praha - Roudnice</t>
  </si>
  <si>
    <t>Neratovice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</si>
</sst>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#,##0.0"/>
    <numFmt numFmtId="167" formatCode="00&quot; %  z mezd&quot;"/>
    <numFmt numFmtId="16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3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 vertical="center"/>
      <protection hidden="1"/>
    </xf>
    <xf numFmtId="165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5" fontId="7" fillId="0" borderId="3" xfId="0" applyNumberFormat="1" applyFont="1" applyFill="1" applyBorder="1" applyAlignment="1" applyProtection="1">
      <alignment horizontal="center" vertical="center"/>
      <protection hidden="1"/>
    </xf>
    <xf numFmtId="165" fontId="7" fillId="0" borderId="23" xfId="0" applyNumberFormat="1" applyFont="1" applyFill="1" applyBorder="1" applyAlignment="1" applyProtection="1">
      <alignment horizontal="center" vertical="center"/>
      <protection hidden="1"/>
    </xf>
    <xf numFmtId="165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5" fontId="7" fillId="0" borderId="27" xfId="0" applyNumberFormat="1" applyFont="1" applyFill="1" applyBorder="1" applyAlignment="1" applyProtection="1">
      <alignment horizontal="center" vertical="center"/>
      <protection hidden="1"/>
    </xf>
    <xf numFmtId="165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5" fontId="7" fillId="0" borderId="29" xfId="0" applyNumberFormat="1" applyFont="1" applyFill="1" applyBorder="1" applyAlignment="1" applyProtection="1">
      <alignment horizontal="center" vertical="center"/>
      <protection hidden="1"/>
    </xf>
    <xf numFmtId="165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5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5" fontId="7" fillId="0" borderId="34" xfId="0" applyNumberFormat="1" applyFont="1" applyFill="1" applyBorder="1" applyAlignment="1" applyProtection="1">
      <alignment horizontal="center" vertical="center"/>
      <protection hidden="1"/>
    </xf>
    <xf numFmtId="165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5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5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5" fontId="2" fillId="8" borderId="3" xfId="0" applyNumberFormat="1" applyFont="1" applyFill="1" applyBorder="1" applyAlignment="1" applyProtection="1">
      <alignment horizontal="center"/>
      <protection hidden="1"/>
    </xf>
    <xf numFmtId="165" fontId="2" fillId="8" borderId="2" xfId="0" applyNumberFormat="1" applyFont="1" applyFill="1" applyBorder="1" applyAlignment="1" applyProtection="1">
      <alignment horizontal="center"/>
      <protection hidden="1"/>
    </xf>
    <xf numFmtId="165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5" fontId="2" fillId="8" borderId="34" xfId="0" applyNumberFormat="1" applyFont="1" applyFill="1" applyBorder="1" applyAlignment="1" applyProtection="1">
      <alignment horizontal="center"/>
      <protection hidden="1"/>
    </xf>
    <xf numFmtId="165" fontId="2" fillId="8" borderId="17" xfId="0" applyNumberFormat="1" applyFont="1" applyFill="1" applyBorder="1" applyAlignment="1" applyProtection="1">
      <alignment horizontal="center"/>
      <protection hidden="1"/>
    </xf>
    <xf numFmtId="165" fontId="2" fillId="8" borderId="65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5" fontId="0" fillId="7" borderId="32" xfId="0" applyNumberFormat="1" applyFill="1" applyBorder="1" applyAlignment="1" applyProtection="1">
      <alignment horizontal="center"/>
      <protection hidden="1"/>
    </xf>
    <xf numFmtId="165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5" fontId="0" fillId="0" borderId="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165" fontId="0" fillId="7" borderId="18" xfId="0" applyNumberFormat="1" applyFill="1" applyBorder="1" applyAlignment="1" applyProtection="1">
      <alignment horizontal="center"/>
      <protection hidden="1"/>
    </xf>
    <xf numFmtId="165" fontId="0" fillId="7" borderId="19" xfId="0" applyNumberFormat="1" applyFill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0" fillId="2" borderId="3" xfId="0" applyNumberFormat="1" applyFill="1" applyBorder="1" applyAlignment="1" applyProtection="1">
      <alignment horizontal="center"/>
      <protection hidden="1"/>
    </xf>
    <xf numFmtId="165" fontId="0" fillId="2" borderId="2" xfId="0" applyNumberFormat="1" applyFill="1" applyBorder="1" applyAlignment="1" applyProtection="1">
      <alignment horizontal="center"/>
      <protection hidden="1"/>
    </xf>
    <xf numFmtId="165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5" fontId="18" fillId="2" borderId="32" xfId="0" applyNumberFormat="1" applyFont="1" applyFill="1" applyBorder="1" applyAlignment="1" applyProtection="1">
      <alignment horizontal="center" wrapText="1"/>
      <protection hidden="1"/>
    </xf>
    <xf numFmtId="165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5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5" fontId="2" fillId="9" borderId="18" xfId="0" applyNumberFormat="1" applyFont="1" applyFill="1" applyBorder="1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65" fontId="2" fillId="10" borderId="7" xfId="0" applyNumberFormat="1" applyFont="1" applyFill="1" applyBorder="1" applyAlignment="1" applyProtection="1">
      <alignment horizontal="center"/>
      <protection locked="0" hidden="1"/>
    </xf>
    <xf numFmtId="165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65" fontId="7" fillId="0" borderId="13" xfId="0" applyNumberFormat="1" applyFont="1" applyFill="1" applyBorder="1" applyAlignment="1" applyProtection="1">
      <alignment horizontal="center" vertical="center"/>
      <protection hidden="1"/>
    </xf>
    <xf numFmtId="165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65" fontId="2" fillId="8" borderId="40" xfId="0" applyNumberFormat="1" applyFont="1" applyFill="1" applyBorder="1" applyAlignment="1" applyProtection="1">
      <alignment horizontal="center"/>
      <protection hidden="1"/>
    </xf>
    <xf numFmtId="165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168" fontId="24" fillId="0" borderId="2" xfId="0" applyNumberFormat="1" applyFont="1" applyFill="1" applyBorder="1" applyAlignment="1" applyProtection="1">
      <alignment horizontal="center" vertical="center"/>
      <protection hidden="1"/>
    </xf>
    <xf numFmtId="16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5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5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5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5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 vertical="center"/>
      <protection locked="0" hidden="1"/>
    </xf>
    <xf numFmtId="0" fontId="0" fillId="0" borderId="7" xfId="0" applyFill="1" applyBorder="1" applyAlignment="1" applyProtection="1">
      <alignment horizontal="center" vertical="center"/>
      <protection locked="0" hidden="1"/>
    </xf>
    <xf numFmtId="0" fontId="5" fillId="0" borderId="7" xfId="0" applyFont="1" applyFill="1" applyBorder="1" applyAlignment="1" applyProtection="1">
      <alignment horizontal="center"/>
      <protection locked="0" hidden="1"/>
    </xf>
    <xf numFmtId="165" fontId="0" fillId="0" borderId="7" xfId="0" applyNumberFormat="1" applyFill="1" applyBorder="1" applyAlignment="1" applyProtection="1">
      <alignment horizontal="center"/>
      <protection locked="0" hidden="1"/>
    </xf>
    <xf numFmtId="2" fontId="5" fillId="0" borderId="7" xfId="0" applyNumberFormat="1" applyFont="1" applyFill="1" applyBorder="1" applyAlignment="1" applyProtection="1">
      <alignment horizontal="center"/>
      <protection locked="0" hidden="1"/>
    </xf>
    <xf numFmtId="0" fontId="0" fillId="0" borderId="7" xfId="0" applyFill="1" applyBorder="1" applyAlignment="1" applyProtection="1">
      <alignment horizontal="center"/>
      <protection locked="0" hidden="1"/>
    </xf>
    <xf numFmtId="0" fontId="5" fillId="0" borderId="28" xfId="0" applyFont="1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/>
      <protection locked="0" hidden="1"/>
    </xf>
    <xf numFmtId="0" fontId="5" fillId="0" borderId="7" xfId="0" applyFont="1" applyFill="1" applyBorder="1" applyAlignment="1" applyProtection="1">
      <alignment horizontal="center" vertical="center"/>
      <protection locked="0" hidden="1"/>
    </xf>
    <xf numFmtId="165" fontId="5" fillId="0" borderId="7" xfId="0" applyNumberFormat="1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/>
      <protection locked="0" hidden="1"/>
    </xf>
    <xf numFmtId="0" fontId="1" fillId="3" borderId="13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 vertical="center"/>
      <protection locked="0" hidden="1"/>
    </xf>
    <xf numFmtId="0" fontId="1" fillId="3" borderId="17" xfId="0" applyFont="1" applyFill="1" applyBorder="1" applyAlignment="1" applyProtection="1">
      <alignment horizontal="center" vertical="center"/>
      <protection locked="0" hidden="1"/>
    </xf>
    <xf numFmtId="2" fontId="1" fillId="10" borderId="2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Alignment="1" applyProtection="1">
      <alignment horizontal="center" vertical="center"/>
      <protection locked="0" hidden="1"/>
    </xf>
    <xf numFmtId="165" fontId="1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Alignment="1" applyProtection="1">
      <alignment horizontal="center" vertical="center"/>
      <protection locked="0" hidden="1"/>
    </xf>
    <xf numFmtId="2" fontId="1" fillId="10" borderId="13" xfId="0" applyNumberFormat="1" applyFont="1" applyFill="1" applyBorder="1" applyAlignment="1" applyProtection="1">
      <alignment horizontal="center" vertical="center"/>
      <protection locked="0" hidden="1"/>
    </xf>
    <xf numFmtId="0" fontId="1" fillId="10" borderId="42" xfId="0" applyFont="1" applyFill="1" applyBorder="1" applyAlignment="1" applyProtection="1">
      <alignment horizontal="center" vertical="center"/>
      <protection locked="0" hidden="1"/>
    </xf>
    <xf numFmtId="0" fontId="1" fillId="10" borderId="0" xfId="0" applyFont="1" applyFill="1" applyAlignment="1" applyProtection="1">
      <alignment horizontal="center" vertical="center"/>
      <protection locked="0" hidden="1"/>
    </xf>
    <xf numFmtId="0" fontId="1" fillId="3" borderId="72" xfId="0" applyFont="1" applyFill="1" applyBorder="1" applyAlignment="1" applyProtection="1">
      <alignment horizontal="center" vertical="center"/>
      <protection locked="0" hidden="1"/>
    </xf>
    <xf numFmtId="165" fontId="1" fillId="3" borderId="7" xfId="0" applyNumberFormat="1" applyFont="1" applyFill="1" applyBorder="1" applyAlignment="1" applyProtection="1">
      <alignment horizontal="center" vertical="center"/>
      <protection locked="0"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4" fontId="5" fillId="6" borderId="3" xfId="0" applyNumberFormat="1" applyFont="1" applyFill="1" applyBorder="1" applyAlignment="1" applyProtection="1">
      <alignment horizontal="center"/>
      <protection hidden="1"/>
    </xf>
    <xf numFmtId="164" fontId="5" fillId="6" borderId="2" xfId="0" applyNumberFormat="1" applyFont="1" applyFill="1" applyBorder="1" applyAlignment="1" applyProtection="1">
      <alignment horizontal="center"/>
      <protection hidden="1"/>
    </xf>
    <xf numFmtId="164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5"/>
  <sheetViews>
    <sheetView showGridLines="0" tabSelected="1" zoomScaleNormal="100" workbookViewId="0"/>
  </sheetViews>
  <sheetFormatPr defaultColWidth="9.1796875" defaultRowHeight="12.5" x14ac:dyDescent="0.25"/>
  <cols>
    <col min="1" max="1" width="2.81640625" style="2" customWidth="1"/>
    <col min="2" max="2" width="4.54296875" style="2" customWidth="1"/>
    <col min="3" max="3" width="29.7265625" style="2" bestFit="1" customWidth="1"/>
    <col min="4" max="4" width="38.26953125" style="2" customWidth="1"/>
    <col min="5" max="5" width="11.7265625" style="2" customWidth="1"/>
    <col min="6" max="7" width="9.1796875" style="2"/>
    <col min="8" max="8" width="32.1796875" style="2" customWidth="1"/>
    <col min="9" max="16384" width="9.1796875" style="2"/>
  </cols>
  <sheetData>
    <row r="2" spans="2:8" ht="18" x14ac:dyDescent="0.4">
      <c r="B2" s="213" t="s">
        <v>267</v>
      </c>
    </row>
    <row r="3" spans="2:8" ht="17.5" x14ac:dyDescent="0.35">
      <c r="B3" s="214" t="s">
        <v>387</v>
      </c>
    </row>
    <row r="4" spans="2:8" ht="13" x14ac:dyDescent="0.3">
      <c r="B4" s="215"/>
    </row>
    <row r="5" spans="2:8" ht="13" x14ac:dyDescent="0.3">
      <c r="B5" s="216" t="s">
        <v>2</v>
      </c>
      <c r="C5" s="216"/>
      <c r="D5" s="217" t="s">
        <v>157</v>
      </c>
      <c r="F5" s="216" t="s">
        <v>268</v>
      </c>
      <c r="G5" s="216"/>
      <c r="H5" s="216"/>
    </row>
    <row r="6" spans="2:8" ht="13" x14ac:dyDescent="0.3">
      <c r="B6" s="218"/>
      <c r="C6" s="218"/>
      <c r="D6" s="32"/>
    </row>
    <row r="7" spans="2:8" ht="13" x14ac:dyDescent="0.3">
      <c r="B7" s="219">
        <v>1</v>
      </c>
      <c r="C7" s="220" t="s">
        <v>160</v>
      </c>
      <c r="D7" s="220" t="s">
        <v>1</v>
      </c>
      <c r="F7" s="221"/>
      <c r="G7" s="222" t="s">
        <v>269</v>
      </c>
    </row>
    <row r="8" spans="2:8" ht="13" x14ac:dyDescent="0.3">
      <c r="B8" s="219">
        <v>2</v>
      </c>
      <c r="C8" s="2" t="s">
        <v>54</v>
      </c>
      <c r="D8" s="220" t="s">
        <v>135</v>
      </c>
      <c r="F8" s="223"/>
      <c r="G8" s="224" t="s">
        <v>384</v>
      </c>
    </row>
    <row r="9" spans="2:8" ht="13" x14ac:dyDescent="0.3">
      <c r="B9" s="219">
        <v>3</v>
      </c>
      <c r="C9" s="220" t="s">
        <v>136</v>
      </c>
      <c r="D9" s="220" t="s">
        <v>158</v>
      </c>
      <c r="F9" s="225"/>
      <c r="G9" s="224" t="s">
        <v>270</v>
      </c>
    </row>
    <row r="10" spans="2:8" ht="13" x14ac:dyDescent="0.3">
      <c r="B10" s="219">
        <v>4</v>
      </c>
      <c r="C10" s="220" t="s">
        <v>137</v>
      </c>
      <c r="D10" s="220" t="s">
        <v>55</v>
      </c>
      <c r="F10" s="226"/>
      <c r="G10" s="224" t="s">
        <v>271</v>
      </c>
    </row>
    <row r="11" spans="2:8" ht="13" x14ac:dyDescent="0.3">
      <c r="B11" s="219">
        <v>5</v>
      </c>
      <c r="C11" s="2" t="s">
        <v>57</v>
      </c>
      <c r="D11" s="220" t="s">
        <v>159</v>
      </c>
      <c r="F11" s="227"/>
      <c r="G11" s="224" t="s">
        <v>271</v>
      </c>
    </row>
    <row r="12" spans="2:8" ht="13" x14ac:dyDescent="0.3">
      <c r="B12" s="219">
        <v>6</v>
      </c>
      <c r="C12" s="2" t="s">
        <v>56</v>
      </c>
      <c r="D12" s="220" t="s">
        <v>159</v>
      </c>
      <c r="F12" s="32"/>
      <c r="G12" s="100"/>
    </row>
    <row r="13" spans="2:8" ht="13" x14ac:dyDescent="0.3">
      <c r="B13" s="219"/>
    </row>
    <row r="15" spans="2:8" s="100" customFormat="1" x14ac:dyDescent="0.25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7"/>
  <sheetViews>
    <sheetView showGridLines="0" zoomScaleNormal="100" workbookViewId="0"/>
  </sheetViews>
  <sheetFormatPr defaultColWidth="9.1796875" defaultRowHeight="12.5" x14ac:dyDescent="0.25"/>
  <cols>
    <col min="1" max="1" width="3.54296875" style="2" customWidth="1"/>
    <col min="2" max="7" width="10.54296875" style="2" customWidth="1"/>
    <col min="8" max="8" width="3.54296875" style="2" customWidth="1"/>
    <col min="9" max="10" width="15.7265625" style="2" customWidth="1"/>
    <col min="11" max="15" width="10.54296875" style="2" customWidth="1"/>
    <col min="16" max="16" width="11.81640625" style="2" customWidth="1"/>
    <col min="17" max="36" width="10.54296875" style="2" customWidth="1"/>
    <col min="37" max="16384" width="9.1796875" style="2"/>
  </cols>
  <sheetData>
    <row r="2" spans="2:17" ht="15" customHeight="1" thickBot="1" x14ac:dyDescent="0.35">
      <c r="B2" s="1" t="s">
        <v>261</v>
      </c>
      <c r="I2" s="1" t="s">
        <v>262</v>
      </c>
    </row>
    <row r="3" spans="2:17" ht="15" customHeight="1" x14ac:dyDescent="0.3">
      <c r="B3" s="480" t="s">
        <v>105</v>
      </c>
      <c r="C3" s="481"/>
      <c r="D3" s="481"/>
      <c r="E3" s="481"/>
      <c r="F3" s="481"/>
      <c r="G3" s="482"/>
      <c r="I3" s="480" t="s">
        <v>123</v>
      </c>
      <c r="J3" s="481"/>
      <c r="K3" s="481"/>
      <c r="L3" s="481"/>
      <c r="M3" s="481"/>
      <c r="N3" s="481"/>
      <c r="O3" s="481"/>
      <c r="P3" s="481"/>
      <c r="Q3" s="482"/>
    </row>
    <row r="4" spans="2:17" ht="15" customHeight="1" x14ac:dyDescent="0.3">
      <c r="B4" s="475" t="s">
        <v>106</v>
      </c>
      <c r="C4" s="476"/>
      <c r="D4" s="477"/>
      <c r="E4" s="478" t="s">
        <v>107</v>
      </c>
      <c r="F4" s="476"/>
      <c r="G4" s="479"/>
      <c r="I4" s="475" t="s">
        <v>124</v>
      </c>
      <c r="J4" s="476"/>
      <c r="K4" s="476"/>
      <c r="L4" s="476"/>
      <c r="M4" s="476"/>
      <c r="N4" s="476"/>
      <c r="O4" s="476"/>
      <c r="P4" s="476"/>
      <c r="Q4" s="479"/>
    </row>
    <row r="5" spans="2:17" ht="48" customHeight="1" thickBot="1" x14ac:dyDescent="0.35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111</v>
      </c>
      <c r="L5" s="119" t="s">
        <v>114</v>
      </c>
      <c r="M5" s="119" t="s">
        <v>113</v>
      </c>
      <c r="N5" s="119" t="s">
        <v>117</v>
      </c>
      <c r="O5" s="119" t="s">
        <v>116</v>
      </c>
      <c r="P5" s="119" t="s">
        <v>119</v>
      </c>
      <c r="Q5" s="120" t="s">
        <v>60</v>
      </c>
    </row>
    <row r="6" spans="2:17" ht="15" customHeight="1" thickBot="1" x14ac:dyDescent="0.4">
      <c r="B6" s="121" t="s">
        <v>99</v>
      </c>
      <c r="C6" s="122" t="s">
        <v>7</v>
      </c>
      <c r="D6" s="123">
        <v>7.81</v>
      </c>
      <c r="E6" s="124" t="s">
        <v>99</v>
      </c>
      <c r="F6" s="125" t="s">
        <v>7</v>
      </c>
      <c r="G6" s="126">
        <v>36.1</v>
      </c>
      <c r="H6" s="100"/>
      <c r="I6" s="19"/>
      <c r="J6" s="127"/>
      <c r="K6" s="128" t="s">
        <v>115</v>
      </c>
      <c r="L6" s="129" t="s">
        <v>59</v>
      </c>
      <c r="M6" s="129" t="s">
        <v>115</v>
      </c>
      <c r="N6" s="129" t="s">
        <v>118</v>
      </c>
      <c r="O6" s="129" t="s">
        <v>59</v>
      </c>
      <c r="P6" s="129" t="s">
        <v>125</v>
      </c>
      <c r="Q6" s="130" t="s">
        <v>163</v>
      </c>
    </row>
    <row r="7" spans="2:17" ht="15" customHeight="1" x14ac:dyDescent="0.35">
      <c r="B7" s="131" t="s">
        <v>100</v>
      </c>
      <c r="C7" s="132" t="s">
        <v>7</v>
      </c>
      <c r="D7" s="133">
        <v>6.49</v>
      </c>
      <c r="E7" s="134" t="s">
        <v>100</v>
      </c>
      <c r="F7" s="135" t="s">
        <v>7</v>
      </c>
      <c r="G7" s="136">
        <v>35.33</v>
      </c>
      <c r="I7" s="489" t="s">
        <v>108</v>
      </c>
      <c r="J7" s="490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301</v>
      </c>
      <c r="Q7" s="140">
        <f t="shared" ref="Q7:Q14" si="2">M7/N7/O7*100</f>
        <v>505.4671428571429</v>
      </c>
    </row>
    <row r="8" spans="2:17" ht="24" customHeight="1" x14ac:dyDescent="0.35">
      <c r="B8" s="131" t="s">
        <v>101</v>
      </c>
      <c r="C8" s="132" t="s">
        <v>7</v>
      </c>
      <c r="D8" s="133">
        <v>5.5</v>
      </c>
      <c r="E8" s="134" t="s">
        <v>101</v>
      </c>
      <c r="F8" s="135" t="s">
        <v>7</v>
      </c>
      <c r="G8" s="136">
        <v>33.19</v>
      </c>
      <c r="I8" s="487" t="s">
        <v>109</v>
      </c>
      <c r="J8" s="488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120</v>
      </c>
      <c r="Q8" s="144">
        <f t="shared" si="2"/>
        <v>403.49040816326533</v>
      </c>
    </row>
    <row r="9" spans="2:17" ht="15" customHeight="1" x14ac:dyDescent="0.35">
      <c r="B9" s="131" t="s">
        <v>102</v>
      </c>
      <c r="C9" s="132" t="s">
        <v>8</v>
      </c>
      <c r="D9" s="133">
        <v>44.77</v>
      </c>
      <c r="E9" s="134" t="s">
        <v>102</v>
      </c>
      <c r="F9" s="135" t="s">
        <v>9</v>
      </c>
      <c r="G9" s="136">
        <v>49.23</v>
      </c>
      <c r="I9" s="487" t="s">
        <v>112</v>
      </c>
      <c r="J9" s="488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126</v>
      </c>
      <c r="Q9" s="144">
        <f t="shared" si="2"/>
        <v>272.76178571428574</v>
      </c>
    </row>
    <row r="10" spans="2:17" ht="31.5" customHeight="1" x14ac:dyDescent="0.35">
      <c r="B10" s="131" t="s">
        <v>103</v>
      </c>
      <c r="C10" s="132" t="s">
        <v>8</v>
      </c>
      <c r="D10" s="133">
        <v>35.590000000000003</v>
      </c>
      <c r="E10" s="134" t="s">
        <v>103</v>
      </c>
      <c r="F10" s="135" t="s">
        <v>9</v>
      </c>
      <c r="G10" s="136">
        <v>43.88</v>
      </c>
      <c r="I10" s="487" t="s">
        <v>110</v>
      </c>
      <c r="J10" s="488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127</v>
      </c>
      <c r="Q10" s="144">
        <f t="shared" si="2"/>
        <v>542.56600000000003</v>
      </c>
    </row>
    <row r="11" spans="2:17" ht="15" customHeight="1" thickBot="1" x14ac:dyDescent="0.4">
      <c r="B11" s="145" t="s">
        <v>104</v>
      </c>
      <c r="C11" s="146" t="s">
        <v>9</v>
      </c>
      <c r="D11" s="147">
        <v>30.16</v>
      </c>
      <c r="E11" s="148" t="s">
        <v>104</v>
      </c>
      <c r="F11" s="149" t="s">
        <v>9</v>
      </c>
      <c r="G11" s="150">
        <v>33.6</v>
      </c>
      <c r="I11" s="492" t="s">
        <v>108</v>
      </c>
      <c r="J11" s="493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302</v>
      </c>
      <c r="Q11" s="144">
        <f t="shared" si="2"/>
        <v>707.65400000000011</v>
      </c>
    </row>
    <row r="12" spans="2:17" ht="15" customHeight="1" x14ac:dyDescent="0.25">
      <c r="B12" s="153"/>
      <c r="C12" s="154"/>
      <c r="D12" s="155"/>
      <c r="E12" s="153"/>
      <c r="F12" s="154"/>
      <c r="G12" s="155"/>
      <c r="I12" s="483"/>
      <c r="J12" s="484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5">
      <c r="D13" s="32"/>
      <c r="I13" s="483"/>
      <c r="J13" s="484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3">
      <c r="D14" s="155"/>
      <c r="I14" s="485"/>
      <c r="J14" s="486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5">
      <c r="D15" s="32"/>
    </row>
    <row r="16" spans="2:17" ht="15" customHeight="1" x14ac:dyDescent="0.25">
      <c r="Q16" s="160"/>
    </row>
    <row r="17" spans="2:16" ht="15" customHeight="1" thickBot="1" x14ac:dyDescent="0.35">
      <c r="B17" s="1" t="s">
        <v>263</v>
      </c>
      <c r="I17" s="1" t="s">
        <v>264</v>
      </c>
      <c r="J17" s="161"/>
      <c r="K17" s="161"/>
      <c r="L17" s="161"/>
      <c r="M17" s="161"/>
      <c r="N17" s="161"/>
      <c r="O17" s="161"/>
    </row>
    <row r="18" spans="2:16" ht="15" customHeight="1" thickBot="1" x14ac:dyDescent="0.35">
      <c r="B18" s="501" t="s">
        <v>228</v>
      </c>
      <c r="C18" s="502"/>
      <c r="D18" s="503"/>
      <c r="I18" s="498" t="s">
        <v>260</v>
      </c>
      <c r="J18" s="499"/>
      <c r="K18" s="499"/>
      <c r="L18" s="499"/>
      <c r="M18" s="499"/>
      <c r="N18" s="499"/>
      <c r="O18" s="500"/>
    </row>
    <row r="19" spans="2:16" ht="15" customHeight="1" x14ac:dyDescent="0.25">
      <c r="B19" s="162" t="str">
        <f>C27</f>
        <v>motorová</v>
      </c>
      <c r="C19" s="210">
        <v>8.8800000000000008</v>
      </c>
      <c r="D19" s="163" t="s">
        <v>144</v>
      </c>
      <c r="I19" s="494" t="s">
        <v>259</v>
      </c>
      <c r="J19" s="495"/>
      <c r="K19" s="504" t="s">
        <v>243</v>
      </c>
      <c r="L19" s="505"/>
      <c r="M19" s="505" t="s">
        <v>244</v>
      </c>
      <c r="N19" s="505"/>
      <c r="O19" s="506" t="s">
        <v>232</v>
      </c>
    </row>
    <row r="20" spans="2:16" ht="15" customHeight="1" thickBot="1" x14ac:dyDescent="0.3">
      <c r="B20" s="164" t="str">
        <f>C28</f>
        <v>el.ss</v>
      </c>
      <c r="C20" s="211">
        <v>2.4</v>
      </c>
      <c r="D20" s="165" t="s">
        <v>144</v>
      </c>
      <c r="I20" s="496"/>
      <c r="J20" s="497"/>
      <c r="K20" s="166" t="s">
        <v>230</v>
      </c>
      <c r="L20" s="97" t="s">
        <v>231</v>
      </c>
      <c r="M20" s="97" t="s">
        <v>230</v>
      </c>
      <c r="N20" s="97" t="s">
        <v>231</v>
      </c>
      <c r="O20" s="507"/>
    </row>
    <row r="21" spans="2:16" ht="15" customHeight="1" x14ac:dyDescent="0.25">
      <c r="B21" s="164" t="str">
        <f>C29</f>
        <v>el.stř</v>
      </c>
      <c r="C21" s="211">
        <v>2.4</v>
      </c>
      <c r="D21" s="165" t="s">
        <v>144</v>
      </c>
      <c r="I21" s="167" t="s">
        <v>242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3">
      <c r="B22" s="171" t="str">
        <f>C30</f>
        <v>hybridní</v>
      </c>
      <c r="C22" s="212">
        <v>5.64</v>
      </c>
      <c r="D22" s="172" t="s">
        <v>144</v>
      </c>
      <c r="I22" s="508" t="s">
        <v>372</v>
      </c>
      <c r="J22" s="509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5">
      <c r="B23" s="176"/>
      <c r="I23" s="473" t="s">
        <v>227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5">
      <c r="I24" s="473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35">
      <c r="B25" s="1" t="s">
        <v>265</v>
      </c>
      <c r="I25" s="473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3">
      <c r="B26" s="178" t="s">
        <v>3</v>
      </c>
      <c r="C26" s="179" t="s">
        <v>10</v>
      </c>
      <c r="I26" s="473" t="s">
        <v>225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5">
      <c r="B27" s="180" t="s">
        <v>139</v>
      </c>
      <c r="C27" s="181" t="s">
        <v>141</v>
      </c>
      <c r="I27" s="473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5">
      <c r="B28" s="182" t="s">
        <v>140</v>
      </c>
      <c r="C28" s="183" t="s">
        <v>381</v>
      </c>
      <c r="I28" s="473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3">
      <c r="B29" s="184" t="s">
        <v>229</v>
      </c>
      <c r="C29" s="183" t="s">
        <v>382</v>
      </c>
      <c r="I29" s="473" t="s">
        <v>226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" thickBot="1" x14ac:dyDescent="0.3">
      <c r="C30" s="186" t="s">
        <v>143</v>
      </c>
      <c r="I30" s="473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5">
      <c r="I31" s="473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35">
      <c r="B32" s="1" t="s">
        <v>296</v>
      </c>
      <c r="I32" s="491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5">
      <c r="B33" s="191" t="s">
        <v>295</v>
      </c>
      <c r="C33" s="192" t="s">
        <v>311</v>
      </c>
      <c r="D33" s="193">
        <v>0.85</v>
      </c>
      <c r="I33" s="491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" thickBot="1" x14ac:dyDescent="0.3">
      <c r="B34" s="194"/>
      <c r="C34" s="195" t="s">
        <v>312</v>
      </c>
      <c r="D34" s="196">
        <v>1</v>
      </c>
      <c r="I34" s="491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5">
      <c r="I35" s="472" t="s">
        <v>234</v>
      </c>
      <c r="J35" s="198" t="s">
        <v>235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5">
      <c r="I36" s="473"/>
      <c r="J36" s="177" t="s">
        <v>236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" thickBot="1" x14ac:dyDescent="0.3">
      <c r="I37" s="474"/>
      <c r="J37" s="202" t="s">
        <v>237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I23:I25"/>
    <mergeCell ref="I19:J20"/>
    <mergeCell ref="I18:O18"/>
    <mergeCell ref="B18:D18"/>
    <mergeCell ref="K19:L19"/>
    <mergeCell ref="M19:N19"/>
    <mergeCell ref="O19:O20"/>
    <mergeCell ref="I22:J22"/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  <mergeCell ref="I8:J8"/>
    <mergeCell ref="I26:I28"/>
    <mergeCell ref="I29:I34"/>
    <mergeCell ref="I10:J10"/>
    <mergeCell ref="I11:J11"/>
    <mergeCell ref="I12:J12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99"/>
  <sheetViews>
    <sheetView showGridLines="0" zoomScaleNormal="100" workbookViewId="0"/>
  </sheetViews>
  <sheetFormatPr defaultColWidth="9.1796875" defaultRowHeight="12.5" x14ac:dyDescent="0.25"/>
  <cols>
    <col min="1" max="1" width="2.81640625" style="2" customWidth="1"/>
    <col min="2" max="2" width="23.26953125" style="2" customWidth="1"/>
    <col min="3" max="3" width="10.54296875" style="2" customWidth="1"/>
    <col min="4" max="4" width="10.54296875" style="3" customWidth="1"/>
    <col min="5" max="24" width="11.7265625" style="3" customWidth="1"/>
    <col min="25" max="16384" width="9.1796875" style="2"/>
  </cols>
  <sheetData>
    <row r="2" spans="2:24" ht="13.5" thickBot="1" x14ac:dyDescent="0.35">
      <c r="B2" s="1" t="s">
        <v>272</v>
      </c>
    </row>
    <row r="3" spans="2:24" ht="13" x14ac:dyDescent="0.3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ht="13" x14ac:dyDescent="0.3">
      <c r="B4" s="231" t="s">
        <v>53</v>
      </c>
      <c r="C4" s="232"/>
      <c r="D4" s="107"/>
      <c r="E4" s="288" t="s">
        <v>391</v>
      </c>
      <c r="F4" s="289" t="s">
        <v>392</v>
      </c>
      <c r="G4" s="289" t="s">
        <v>396</v>
      </c>
      <c r="H4" s="289" t="s">
        <v>393</v>
      </c>
      <c r="I4" s="289" t="s">
        <v>397</v>
      </c>
      <c r="J4" s="289" t="s">
        <v>398</v>
      </c>
      <c r="K4" s="289" t="s">
        <v>399</v>
      </c>
      <c r="L4" s="289" t="s">
        <v>395</v>
      </c>
      <c r="M4" s="289"/>
      <c r="N4" s="289"/>
      <c r="O4" s="289"/>
      <c r="P4" s="289"/>
      <c r="Q4" s="289"/>
      <c r="R4" s="290"/>
      <c r="S4" s="290"/>
      <c r="T4" s="290"/>
      <c r="U4" s="289"/>
      <c r="V4" s="289"/>
      <c r="W4" s="289"/>
      <c r="X4" s="291"/>
    </row>
    <row r="5" spans="2:24" x14ac:dyDescent="0.25">
      <c r="B5" s="19" t="s">
        <v>39</v>
      </c>
      <c r="C5" s="20"/>
      <c r="D5" s="16"/>
      <c r="E5" s="301" t="s">
        <v>388</v>
      </c>
      <c r="F5" s="294" t="s">
        <v>168</v>
      </c>
      <c r="G5" s="294" t="s">
        <v>394</v>
      </c>
      <c r="H5" s="294" t="s">
        <v>394</v>
      </c>
      <c r="I5" s="294" t="s">
        <v>394</v>
      </c>
      <c r="J5" s="294" t="s">
        <v>388</v>
      </c>
      <c r="K5" s="459" t="s">
        <v>162</v>
      </c>
      <c r="L5" s="459" t="s">
        <v>162</v>
      </c>
      <c r="M5" s="459"/>
      <c r="N5" s="294"/>
      <c r="O5" s="293"/>
      <c r="P5" s="293"/>
      <c r="Q5" s="294"/>
      <c r="R5" s="293"/>
      <c r="S5" s="293"/>
      <c r="T5" s="293"/>
      <c r="U5" s="293"/>
      <c r="V5" s="293"/>
      <c r="W5" s="293"/>
      <c r="X5" s="295"/>
    </row>
    <row r="6" spans="2:24" x14ac:dyDescent="0.25">
      <c r="B6" s="14" t="s">
        <v>95</v>
      </c>
      <c r="C6" s="15"/>
      <c r="D6" s="16" t="s">
        <v>40</v>
      </c>
      <c r="E6" s="292">
        <v>1</v>
      </c>
      <c r="F6" s="293">
        <v>1</v>
      </c>
      <c r="G6" s="293">
        <v>1</v>
      </c>
      <c r="H6" s="293">
        <v>1</v>
      </c>
      <c r="I6" s="293">
        <v>1</v>
      </c>
      <c r="J6" s="293">
        <v>1</v>
      </c>
      <c r="K6" s="459">
        <v>1</v>
      </c>
      <c r="L6" s="459">
        <v>1</v>
      </c>
      <c r="M6" s="459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5"/>
    </row>
    <row r="7" spans="2:24" x14ac:dyDescent="0.25">
      <c r="B7" s="14" t="s">
        <v>93</v>
      </c>
      <c r="C7" s="15"/>
      <c r="D7" s="16" t="s">
        <v>41</v>
      </c>
      <c r="E7" s="292">
        <v>250</v>
      </c>
      <c r="F7" s="293">
        <v>75</v>
      </c>
      <c r="G7" s="293">
        <v>150</v>
      </c>
      <c r="H7" s="293">
        <v>150</v>
      </c>
      <c r="I7" s="293">
        <v>150</v>
      </c>
      <c r="J7" s="293">
        <v>250</v>
      </c>
      <c r="K7" s="459">
        <v>110</v>
      </c>
      <c r="L7" s="459">
        <v>110</v>
      </c>
      <c r="M7" s="459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5"/>
    </row>
    <row r="8" spans="2:24" x14ac:dyDescent="0.25">
      <c r="B8" s="14" t="s">
        <v>97</v>
      </c>
      <c r="C8" s="15"/>
      <c r="D8" s="16" t="s">
        <v>42</v>
      </c>
      <c r="E8" s="292">
        <v>15</v>
      </c>
      <c r="F8" s="293">
        <v>15</v>
      </c>
      <c r="G8" s="293">
        <v>15</v>
      </c>
      <c r="H8" s="293">
        <v>15</v>
      </c>
      <c r="I8" s="293">
        <v>15</v>
      </c>
      <c r="J8" s="293">
        <v>15</v>
      </c>
      <c r="K8" s="459">
        <v>15</v>
      </c>
      <c r="L8" s="459">
        <v>15</v>
      </c>
      <c r="M8" s="459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5"/>
    </row>
    <row r="9" spans="2:24" x14ac:dyDescent="0.25">
      <c r="B9" s="81" t="s">
        <v>92</v>
      </c>
      <c r="C9" s="233"/>
      <c r="D9" s="23" t="s">
        <v>15</v>
      </c>
      <c r="E9" s="296">
        <v>90</v>
      </c>
      <c r="F9" s="297">
        <v>90</v>
      </c>
      <c r="G9" s="297">
        <v>90</v>
      </c>
      <c r="H9" s="297">
        <v>90</v>
      </c>
      <c r="I9" s="297">
        <v>90</v>
      </c>
      <c r="J9" s="297">
        <v>90</v>
      </c>
      <c r="K9" s="460">
        <v>90</v>
      </c>
      <c r="L9" s="460">
        <v>90</v>
      </c>
      <c r="M9" s="460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8"/>
    </row>
    <row r="10" spans="2:24" x14ac:dyDescent="0.25">
      <c r="B10" s="19" t="s">
        <v>39</v>
      </c>
      <c r="C10" s="20"/>
      <c r="D10" s="16"/>
      <c r="E10" s="292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5">
      <c r="B11" s="14" t="s">
        <v>95</v>
      </c>
      <c r="C11" s="15"/>
      <c r="D11" s="16" t="s">
        <v>40</v>
      </c>
      <c r="E11" s="292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5">
      <c r="B12" s="14" t="s">
        <v>93</v>
      </c>
      <c r="C12" s="15"/>
      <c r="D12" s="16" t="s">
        <v>41</v>
      </c>
      <c r="E12" s="292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5">
      <c r="B13" s="14" t="s">
        <v>97</v>
      </c>
      <c r="C13" s="15"/>
      <c r="D13" s="16" t="s">
        <v>42</v>
      </c>
      <c r="E13" s="301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5">
      <c r="B14" s="81" t="s">
        <v>92</v>
      </c>
      <c r="C14" s="233"/>
      <c r="D14" s="23" t="s">
        <v>15</v>
      </c>
      <c r="E14" s="296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5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5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5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5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5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5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5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5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5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5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5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5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5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5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" thickBot="1" x14ac:dyDescent="0.3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ht="13" x14ac:dyDescent="0.3">
      <c r="B30" s="234" t="s">
        <v>94</v>
      </c>
      <c r="C30" s="235"/>
      <c r="D30" s="236" t="s">
        <v>43</v>
      </c>
      <c r="E30" s="237">
        <f>E6*E7+E11*E12+E16*E17+E21*E22+E26*E27</f>
        <v>250</v>
      </c>
      <c r="F30" s="238">
        <f>F6*F7+F11*F12+F16*F17+F21*F22+F26*F27</f>
        <v>75</v>
      </c>
      <c r="G30" s="238">
        <f t="shared" ref="G30:X30" si="0">G6*G7+G11*G12+G16*G17+G21*G22+G26*G27</f>
        <v>150</v>
      </c>
      <c r="H30" s="238">
        <f t="shared" si="0"/>
        <v>150</v>
      </c>
      <c r="I30" s="238">
        <f>I6*I7+I11*I12+I16*I17+I21*I22+I26*I27</f>
        <v>150</v>
      </c>
      <c r="J30" s="238">
        <f t="shared" si="0"/>
        <v>250</v>
      </c>
      <c r="K30" s="238">
        <f t="shared" si="0"/>
        <v>110</v>
      </c>
      <c r="L30" s="238">
        <f>L6*L7+L11*L12+L16*L17+L21*L22+L26*L27</f>
        <v>110</v>
      </c>
      <c r="M30" s="238">
        <f t="shared" si="0"/>
        <v>0</v>
      </c>
      <c r="N30" s="238">
        <f t="shared" si="0"/>
        <v>0</v>
      </c>
      <c r="O30" s="238">
        <f t="shared" si="0"/>
        <v>0</v>
      </c>
      <c r="P30" s="238">
        <f t="shared" si="0"/>
        <v>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35">
      <c r="B31" s="240" t="s">
        <v>96</v>
      </c>
      <c r="C31" s="241"/>
      <c r="D31" s="242" t="s">
        <v>132</v>
      </c>
      <c r="E31" s="243">
        <f>(E7*E6*(E9/100)+E11*E12*(E14/100)+E16*E17*(E19/100)+E21*E22*(E24/100)+E26*E27*(E29/100))/30</f>
        <v>7.5</v>
      </c>
      <c r="F31" s="244">
        <f>(F7*F6*(F9/100)+F11*F12*(F14/100)+F16*F17*(F19/100)+F21*F22*(F24/100)+F26*F27*(F29/100))/30</f>
        <v>2.25</v>
      </c>
      <c r="G31" s="244">
        <f t="shared" ref="G31:X31" si="1">(G7*G6*(G9/100)+G11*G12*(G14/100)+G16*G17*(G19/100)+G21*G22*(G24/100)+G26*G27*(G29/100))/30</f>
        <v>4.5</v>
      </c>
      <c r="H31" s="244">
        <f t="shared" si="1"/>
        <v>4.5</v>
      </c>
      <c r="I31" s="244">
        <f>(I7*I6*(I9/100)+I11*I12*(I14/100)+I16*I17*(I19/100)+I21*I22*(I24/100)+I26*I27*(I29/100))/30</f>
        <v>4.5</v>
      </c>
      <c r="J31" s="244">
        <f t="shared" si="1"/>
        <v>7.5</v>
      </c>
      <c r="K31" s="244">
        <f t="shared" si="1"/>
        <v>3.3</v>
      </c>
      <c r="L31" s="244">
        <f>(L7*L6*(L9/100)+L11*L12*(L14/100)+L16*L17*(L19/100)+L21*L22*(L24/100)+L26*L27*(L29/100))/30</f>
        <v>3.3</v>
      </c>
      <c r="M31" s="244">
        <f t="shared" si="1"/>
        <v>0</v>
      </c>
      <c r="N31" s="244">
        <f t="shared" si="1"/>
        <v>0</v>
      </c>
      <c r="O31" s="244">
        <f t="shared" si="1"/>
        <v>0</v>
      </c>
      <c r="P31" s="244">
        <f t="shared" si="1"/>
        <v>0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ht="13" x14ac:dyDescent="0.3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35">
      <c r="B33" s="1" t="s">
        <v>273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ht="13" x14ac:dyDescent="0.3">
      <c r="B34" s="513" t="s">
        <v>375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ht="13" x14ac:dyDescent="0.3">
      <c r="B35" s="514"/>
      <c r="C35" s="252" t="s">
        <v>147</v>
      </c>
      <c r="D35" s="252" t="s">
        <v>15</v>
      </c>
      <c r="E35" s="299">
        <v>40.925925925925924</v>
      </c>
      <c r="F35" s="299">
        <v>43.75</v>
      </c>
      <c r="G35" s="299">
        <v>23.888888888888889</v>
      </c>
      <c r="H35" s="299">
        <v>51.249999999999993</v>
      </c>
      <c r="I35" s="299">
        <v>42.013888888888893</v>
      </c>
      <c r="J35" s="299">
        <v>53.333333333333336</v>
      </c>
      <c r="K35" s="299">
        <v>40</v>
      </c>
      <c r="L35" s="299">
        <v>50</v>
      </c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ht="13" x14ac:dyDescent="0.3">
      <c r="B36" s="514"/>
      <c r="C36" s="253" t="s">
        <v>383</v>
      </c>
      <c r="D36" s="253" t="s">
        <v>15</v>
      </c>
      <c r="E36" s="254">
        <f t="shared" ref="E36:X36" si="2">IF(E35&gt;0,100-E35,"")</f>
        <v>59.074074074074076</v>
      </c>
      <c r="F36" s="254">
        <f t="shared" si="2"/>
        <v>56.25</v>
      </c>
      <c r="G36" s="254">
        <f t="shared" si="2"/>
        <v>76.111111111111114</v>
      </c>
      <c r="H36" s="254">
        <f t="shared" si="2"/>
        <v>48.750000000000007</v>
      </c>
      <c r="I36" s="254">
        <f t="shared" si="2"/>
        <v>57.986111111111107</v>
      </c>
      <c r="J36" s="254">
        <f t="shared" si="2"/>
        <v>46.666666666666664</v>
      </c>
      <c r="K36" s="254">
        <f t="shared" si="2"/>
        <v>60</v>
      </c>
      <c r="L36" s="254">
        <f t="shared" si="2"/>
        <v>50</v>
      </c>
      <c r="M36" s="254" t="str">
        <f t="shared" si="2"/>
        <v/>
      </c>
      <c r="N36" s="254" t="str">
        <f t="shared" si="2"/>
        <v/>
      </c>
      <c r="O36" s="254" t="str">
        <f t="shared" si="2"/>
        <v/>
      </c>
      <c r="P36" s="254" t="str">
        <f t="shared" si="2"/>
        <v/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35">
      <c r="B37" s="515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ht="13" x14ac:dyDescent="0.3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35">
      <c r="B39" s="1" t="s">
        <v>274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ht="13" x14ac:dyDescent="0.3">
      <c r="B40" s="228" t="s">
        <v>149</v>
      </c>
      <c r="C40" s="229"/>
      <c r="D40" s="105"/>
      <c r="E40" s="260" t="str">
        <f t="shared" ref="E40:X40" si="3">IF(E4="","",E4)</f>
        <v>S4 Praha - Kralupy</v>
      </c>
      <c r="F40" s="261" t="str">
        <f t="shared" si="3"/>
        <v>S40 Slaný - Kralupy</v>
      </c>
      <c r="G40" s="261" t="str">
        <f t="shared" si="3"/>
        <v>R44b Slaný - Praha</v>
      </c>
      <c r="H40" s="261" t="str">
        <f t="shared" si="3"/>
        <v>S43 Kladno - Ml. Boleslav</v>
      </c>
      <c r="I40" s="261" t="str">
        <f>IF(I4="","",I4)</f>
        <v>R44c Velvary - Praha</v>
      </c>
      <c r="J40" s="261" t="str">
        <f t="shared" si="3"/>
        <v>R44a Praha - Roudnice</v>
      </c>
      <c r="K40" s="261" t="str">
        <f t="shared" si="3"/>
        <v>Neratovice E</v>
      </c>
      <c r="L40" s="261" t="str">
        <f>IF(L4="","",L4)</f>
        <v>Nex LB-PB</v>
      </c>
      <c r="M40" s="261" t="str">
        <f t="shared" si="3"/>
        <v/>
      </c>
      <c r="N40" s="261" t="str">
        <f t="shared" si="3"/>
        <v/>
      </c>
      <c r="O40" s="261" t="str">
        <f t="shared" si="3"/>
        <v/>
      </c>
      <c r="P40" s="261" t="str">
        <f t="shared" si="3"/>
        <v/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ht="13" x14ac:dyDescent="0.3">
      <c r="B41" s="263" t="s">
        <v>150</v>
      </c>
      <c r="C41" s="79"/>
      <c r="D41" s="80" t="s">
        <v>61</v>
      </c>
      <c r="E41" s="264">
        <f>IF(E31&gt;0,E31/8760*1000000,"-")</f>
        <v>856.16438356164383</v>
      </c>
      <c r="F41" s="264">
        <f t="shared" ref="F41:X41" si="4">IF(F31&gt;0,F31/8760*1000000,"-")</f>
        <v>256.84931506849313</v>
      </c>
      <c r="G41" s="264">
        <f t="shared" si="4"/>
        <v>513.69863013698625</v>
      </c>
      <c r="H41" s="264">
        <f t="shared" si="4"/>
        <v>513.69863013698625</v>
      </c>
      <c r="I41" s="264">
        <f t="shared" si="4"/>
        <v>513.69863013698625</v>
      </c>
      <c r="J41" s="264">
        <f t="shared" si="4"/>
        <v>856.16438356164383</v>
      </c>
      <c r="K41" s="264">
        <f t="shared" si="4"/>
        <v>376.71232876712327</v>
      </c>
      <c r="L41" s="264">
        <f t="shared" si="4"/>
        <v>376.71232876712327</v>
      </c>
      <c r="M41" s="264" t="str">
        <f t="shared" si="4"/>
        <v>-</v>
      </c>
      <c r="N41" s="264" t="str">
        <f t="shared" si="4"/>
        <v>-</v>
      </c>
      <c r="O41" s="264" t="str">
        <f t="shared" si="4"/>
        <v>-</v>
      </c>
      <c r="P41" s="264" t="str">
        <f t="shared" si="4"/>
        <v>-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35">
      <c r="B42" s="266" t="s">
        <v>385</v>
      </c>
      <c r="C42" s="27"/>
      <c r="D42" s="28" t="s">
        <v>61</v>
      </c>
      <c r="E42" s="267">
        <f>IF(E30&gt;0,E30/30/8760*1000000,"-")</f>
        <v>951.29375951293764</v>
      </c>
      <c r="F42" s="267">
        <f t="shared" ref="F42:X42" si="5">IF(F30&gt;0,F30/30/8760*1000000,"-")</f>
        <v>285.38812785388126</v>
      </c>
      <c r="G42" s="267">
        <f t="shared" si="5"/>
        <v>570.77625570776252</v>
      </c>
      <c r="H42" s="267">
        <f t="shared" si="5"/>
        <v>570.77625570776252</v>
      </c>
      <c r="I42" s="267">
        <f t="shared" si="5"/>
        <v>570.77625570776252</v>
      </c>
      <c r="J42" s="267">
        <f t="shared" si="5"/>
        <v>951.29375951293764</v>
      </c>
      <c r="K42" s="267">
        <f t="shared" si="5"/>
        <v>418.56925418569256</v>
      </c>
      <c r="L42" s="267">
        <f t="shared" si="5"/>
        <v>418.56925418569256</v>
      </c>
      <c r="M42" s="267" t="str">
        <f t="shared" si="5"/>
        <v>-</v>
      </c>
      <c r="N42" s="267" t="str">
        <f t="shared" si="5"/>
        <v>-</v>
      </c>
      <c r="O42" s="267" t="str">
        <f t="shared" si="5"/>
        <v>-</v>
      </c>
      <c r="P42" s="267" t="str">
        <f t="shared" si="5"/>
        <v>-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ht="13" x14ac:dyDescent="0.3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35">
      <c r="B44" s="1" t="s">
        <v>275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ht="13" x14ac:dyDescent="0.3">
      <c r="B45" s="228" t="s">
        <v>151</v>
      </c>
      <c r="C45" s="229"/>
      <c r="D45" s="105"/>
      <c r="E45" s="260" t="str">
        <f t="shared" ref="E45:X45" si="6">IF(E4="","",E4)</f>
        <v>S4 Praha - Kralupy</v>
      </c>
      <c r="F45" s="261" t="str">
        <f t="shared" si="6"/>
        <v>S40 Slaný - Kralupy</v>
      </c>
      <c r="G45" s="261" t="str">
        <f t="shared" si="6"/>
        <v>R44b Slaný - Praha</v>
      </c>
      <c r="H45" s="261" t="str">
        <f t="shared" si="6"/>
        <v>S43 Kladno - Ml. Boleslav</v>
      </c>
      <c r="I45" s="261" t="str">
        <f>IF(I4="","",I4)</f>
        <v>R44c Velvary - Praha</v>
      </c>
      <c r="J45" s="261" t="str">
        <f t="shared" si="6"/>
        <v>R44a Praha - Roudnice</v>
      </c>
      <c r="K45" s="261" t="str">
        <f t="shared" si="6"/>
        <v>Neratovice E</v>
      </c>
      <c r="L45" s="261" t="str">
        <f>IF(L4="","",L4)</f>
        <v>Nex LB-PB</v>
      </c>
      <c r="M45" s="261" t="str">
        <f t="shared" si="6"/>
        <v/>
      </c>
      <c r="N45" s="261" t="str">
        <f t="shared" si="6"/>
        <v/>
      </c>
      <c r="O45" s="261" t="str">
        <f t="shared" si="6"/>
        <v/>
      </c>
      <c r="P45" s="261" t="str">
        <f t="shared" si="6"/>
        <v/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ht="13" x14ac:dyDescent="0.3">
      <c r="B46" s="263" t="s">
        <v>150</v>
      </c>
      <c r="C46" s="79"/>
      <c r="D46" s="80" t="s">
        <v>152</v>
      </c>
      <c r="E46" s="269">
        <f>IF((E35&gt;0),E41/E$35*SUM(E34:E37),"-")</f>
        <v>2091.9853715985869</v>
      </c>
      <c r="F46" s="269">
        <f t="shared" ref="F46:X46" si="7">IF((F35&gt;0),F41/F$35*SUM(F34:F37),"-")</f>
        <v>587.08414872798426</v>
      </c>
      <c r="G46" s="269">
        <f t="shared" si="7"/>
        <v>2150.3663587129658</v>
      </c>
      <c r="H46" s="269">
        <f t="shared" si="7"/>
        <v>1002.3387905111928</v>
      </c>
      <c r="I46" s="269">
        <f t="shared" si="7"/>
        <v>1222.6876485905127</v>
      </c>
      <c r="J46" s="269">
        <f t="shared" si="7"/>
        <v>1605.308219178082</v>
      </c>
      <c r="K46" s="269">
        <f t="shared" si="7"/>
        <v>941.78082191780811</v>
      </c>
      <c r="L46" s="269">
        <f t="shared" si="7"/>
        <v>753.42465753424653</v>
      </c>
      <c r="M46" s="269" t="str">
        <f t="shared" si="7"/>
        <v>-</v>
      </c>
      <c r="N46" s="269" t="str">
        <f t="shared" si="7"/>
        <v>-</v>
      </c>
      <c r="O46" s="269" t="str">
        <f t="shared" si="7"/>
        <v>-</v>
      </c>
      <c r="P46" s="269" t="str">
        <f t="shared" si="7"/>
        <v>-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35">
      <c r="B47" s="266" t="s">
        <v>385</v>
      </c>
      <c r="C47" s="27"/>
      <c r="D47" s="28" t="s">
        <v>152</v>
      </c>
      <c r="E47" s="271">
        <f>IF(E35&gt;0,E42/E$35*SUM(E34:E37),"-")</f>
        <v>2324.4281906650963</v>
      </c>
      <c r="F47" s="271">
        <f t="shared" ref="F47:X47" si="8">IF(F35&gt;0,F42/F$35*SUM(F34:F37),"-")</f>
        <v>652.31572080887145</v>
      </c>
      <c r="G47" s="271">
        <f t="shared" si="8"/>
        <v>2389.2959541255173</v>
      </c>
      <c r="H47" s="271">
        <f t="shared" si="8"/>
        <v>1113.7097672346588</v>
      </c>
      <c r="I47" s="271">
        <f t="shared" si="8"/>
        <v>1358.5418317672361</v>
      </c>
      <c r="J47" s="271">
        <f t="shared" si="8"/>
        <v>1783.6757990867579</v>
      </c>
      <c r="K47" s="271">
        <f t="shared" si="8"/>
        <v>1046.4231354642313</v>
      </c>
      <c r="L47" s="271">
        <f t="shared" si="8"/>
        <v>837.13850837138523</v>
      </c>
      <c r="M47" s="271" t="str">
        <f t="shared" si="8"/>
        <v>-</v>
      </c>
      <c r="N47" s="271" t="str">
        <f t="shared" si="8"/>
        <v>-</v>
      </c>
      <c r="O47" s="271" t="str">
        <f t="shared" si="8"/>
        <v>-</v>
      </c>
      <c r="P47" s="271" t="str">
        <f t="shared" si="8"/>
        <v>-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ht="13" x14ac:dyDescent="0.3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35">
      <c r="B49" s="1" t="s">
        <v>276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21" hidden="1" x14ac:dyDescent="0.3">
      <c r="B50" s="275"/>
      <c r="C50" s="276"/>
      <c r="D50" s="277" t="s">
        <v>98</v>
      </c>
      <c r="E50" s="278" t="str">
        <f>IF(E4="","",E4)</f>
        <v>S4 Praha - Kralupy</v>
      </c>
      <c r="F50" s="278" t="str">
        <f t="shared" ref="F50:X50" si="9">IF(F4="","",F4)</f>
        <v>S40 Slaný - Kralupy</v>
      </c>
      <c r="G50" s="278" t="str">
        <f t="shared" si="9"/>
        <v>R44b Slaný - Praha</v>
      </c>
      <c r="H50" s="278" t="str">
        <f t="shared" si="9"/>
        <v>S43 Kladno - Ml. Boleslav</v>
      </c>
      <c r="I50" s="278" t="str">
        <f>IF(I4="","",I4)</f>
        <v>R44c Velvary - Praha</v>
      </c>
      <c r="J50" s="278" t="str">
        <f t="shared" si="9"/>
        <v>R44a Praha - Roudnice</v>
      </c>
      <c r="K50" s="278" t="str">
        <f t="shared" si="9"/>
        <v>Neratovice E</v>
      </c>
      <c r="L50" s="278" t="str">
        <f>IF(L4="","",L4)</f>
        <v>Nex LB-PB</v>
      </c>
      <c r="M50" s="278" t="str">
        <f t="shared" si="9"/>
        <v/>
      </c>
      <c r="N50" s="278" t="str">
        <f t="shared" si="9"/>
        <v/>
      </c>
      <c r="O50" s="278" t="str">
        <f t="shared" si="9"/>
        <v/>
      </c>
      <c r="P50" s="278" t="str">
        <f t="shared" si="9"/>
        <v/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t="13" hidden="1" x14ac:dyDescent="0.3">
      <c r="B51" s="510" t="s">
        <v>148</v>
      </c>
      <c r="C51" s="281" t="s">
        <v>62</v>
      </c>
      <c r="D51" s="282">
        <f t="shared" ref="D51:D80" si="10">SUM(E51:X51)</f>
        <v>120.35</v>
      </c>
      <c r="E51" s="254">
        <f t="shared" ref="E51:X51" si="11">IF(E$8&gt;=1,E$7*E$6/E$8,0)+IF(E$13&gt;=1,E$12*E$11/E$13,0)+IF(E$18&gt;=1,E$17*E$16/E$18,0)+IF(E$23&gt;=1,E$22*E$21/E$23,0)+IF(E$28&gt;=1,E$27*E$26/E$28,0)+E$31</f>
        <v>24.166666666666668</v>
      </c>
      <c r="F51" s="254">
        <f t="shared" si="11"/>
        <v>7.25</v>
      </c>
      <c r="G51" s="254">
        <f t="shared" si="11"/>
        <v>14.5</v>
      </c>
      <c r="H51" s="254">
        <f t="shared" si="11"/>
        <v>14.5</v>
      </c>
      <c r="I51" s="254">
        <f>IF(I$8&gt;=1,I$7*I$6/I$8,0)+IF(I$13&gt;=1,I$12*I$11/I$13,0)+IF(I$18&gt;=1,I$17*I$16/I$18,0)+IF(I$23&gt;=1,I$22*I$21/I$23,0)+IF(I$28&gt;=1,I$27*I$26/I$28,0)+I$31</f>
        <v>14.5</v>
      </c>
      <c r="J51" s="254">
        <f t="shared" si="11"/>
        <v>24.166666666666668</v>
      </c>
      <c r="K51" s="254">
        <f t="shared" si="11"/>
        <v>10.633333333333333</v>
      </c>
      <c r="L51" s="254">
        <f>IF(L$8&gt;=1,L$7*L$6/L$8,0)+IF(L$13&gt;=1,L$12*L$11/L$13,0)+IF(L$18&gt;=1,L$17*L$16/L$18,0)+IF(L$23&gt;=1,L$22*L$21/L$23,0)+IF(L$28&gt;=1,L$27*L$26/L$28,0)+L$31</f>
        <v>10.633333333333333</v>
      </c>
      <c r="M51" s="254">
        <f t="shared" si="11"/>
        <v>0</v>
      </c>
      <c r="N51" s="254">
        <f t="shared" si="11"/>
        <v>0</v>
      </c>
      <c r="O51" s="254">
        <f t="shared" si="11"/>
        <v>0</v>
      </c>
      <c r="P51" s="254">
        <f t="shared" si="11"/>
        <v>0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t="13" hidden="1" x14ac:dyDescent="0.3">
      <c r="B52" s="511"/>
      <c r="C52" s="281" t="s">
        <v>63</v>
      </c>
      <c r="D52" s="282">
        <f t="shared" si="10"/>
        <v>120.35</v>
      </c>
      <c r="E52" s="254">
        <f t="shared" ref="E52:X52" si="12">IF(E$8&gt;=2,E$7*E$6/E$8,0)+IF(E$13&gt;=2,E$12*E$11/E$13,0)+IF(E$18&gt;=2,E$17*E$16/E$18,0)+IF(E$23&gt;=2,E$22*E$21/E$23,0)+IF(E$28&gt;=2,E$27*E$26/E$28,0)+E$31</f>
        <v>24.166666666666668</v>
      </c>
      <c r="F52" s="254">
        <f t="shared" si="12"/>
        <v>7.25</v>
      </c>
      <c r="G52" s="254">
        <f t="shared" si="12"/>
        <v>14.5</v>
      </c>
      <c r="H52" s="254">
        <f t="shared" si="12"/>
        <v>14.5</v>
      </c>
      <c r="I52" s="254">
        <f>IF(I$8&gt;=2,I$7*I$6/I$8,0)+IF(I$13&gt;=2,I$12*I$11/I$13,0)+IF(I$18&gt;=2,I$17*I$16/I$18,0)+IF(I$23&gt;=2,I$22*I$21/I$23,0)+IF(I$28&gt;=2,I$27*I$26/I$28,0)+I$31</f>
        <v>14.5</v>
      </c>
      <c r="J52" s="254">
        <f t="shared" si="12"/>
        <v>24.166666666666668</v>
      </c>
      <c r="K52" s="254">
        <f t="shared" si="12"/>
        <v>10.633333333333333</v>
      </c>
      <c r="L52" s="254">
        <f>IF(L$8&gt;=2,L$7*L$6/L$8,0)+IF(L$13&gt;=2,L$12*L$11/L$13,0)+IF(L$18&gt;=2,L$17*L$16/L$18,0)+IF(L$23&gt;=2,L$22*L$21/L$23,0)+IF(L$28&gt;=2,L$27*L$26/L$28,0)+L$31</f>
        <v>10.633333333333333</v>
      </c>
      <c r="M52" s="254">
        <f t="shared" si="12"/>
        <v>0</v>
      </c>
      <c r="N52" s="254">
        <f t="shared" si="12"/>
        <v>0</v>
      </c>
      <c r="O52" s="254">
        <f t="shared" si="12"/>
        <v>0</v>
      </c>
      <c r="P52" s="254">
        <f t="shared" si="12"/>
        <v>0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t="13" hidden="1" x14ac:dyDescent="0.3">
      <c r="B53" s="511"/>
      <c r="C53" s="281" t="s">
        <v>64</v>
      </c>
      <c r="D53" s="282">
        <f t="shared" si="10"/>
        <v>120.35</v>
      </c>
      <c r="E53" s="254">
        <f t="shared" ref="E53:X53" si="13">IF(E$8&gt;=3,E$7*E$6/E$8,0)+IF(E$13&gt;=3,E$12*E$11/E$13,0)+IF(E$18&gt;=3,E$17*E$16/E$18,0)+IF(E$23&gt;=3,E$22*E$21/E$23,0)+IF(E$28&gt;=3,E$27*E$26/E$28,0)+E$31</f>
        <v>24.166666666666668</v>
      </c>
      <c r="F53" s="254">
        <f t="shared" si="13"/>
        <v>7.25</v>
      </c>
      <c r="G53" s="254">
        <f t="shared" si="13"/>
        <v>14.5</v>
      </c>
      <c r="H53" s="254">
        <f t="shared" si="13"/>
        <v>14.5</v>
      </c>
      <c r="I53" s="254">
        <f>IF(I$8&gt;=3,I$7*I$6/I$8,0)+IF(I$13&gt;=3,I$12*I$11/I$13,0)+IF(I$18&gt;=3,I$17*I$16/I$18,0)+IF(I$23&gt;=3,I$22*I$21/I$23,0)+IF(I$28&gt;=3,I$27*I$26/I$28,0)+I$31</f>
        <v>14.5</v>
      </c>
      <c r="J53" s="254">
        <f t="shared" si="13"/>
        <v>24.166666666666668</v>
      </c>
      <c r="K53" s="254">
        <f t="shared" si="13"/>
        <v>10.633333333333333</v>
      </c>
      <c r="L53" s="254">
        <f>IF(L$8&gt;=3,L$7*L$6/L$8,0)+IF(L$13&gt;=3,L$12*L$11/L$13,0)+IF(L$18&gt;=3,L$17*L$16/L$18,0)+IF(L$23&gt;=3,L$22*L$21/L$23,0)+IF(L$28&gt;=3,L$27*L$26/L$28,0)+L$31</f>
        <v>10.633333333333333</v>
      </c>
      <c r="M53" s="254">
        <f t="shared" si="13"/>
        <v>0</v>
      </c>
      <c r="N53" s="254">
        <f t="shared" si="13"/>
        <v>0</v>
      </c>
      <c r="O53" s="254">
        <f t="shared" si="13"/>
        <v>0</v>
      </c>
      <c r="P53" s="254">
        <f t="shared" si="13"/>
        <v>0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t="13" hidden="1" x14ac:dyDescent="0.3">
      <c r="B54" s="511"/>
      <c r="C54" s="281" t="s">
        <v>65</v>
      </c>
      <c r="D54" s="282">
        <f t="shared" si="10"/>
        <v>120.35</v>
      </c>
      <c r="E54" s="254">
        <f t="shared" ref="E54:X54" si="14">IF(E$8&gt;=4,E$7*E$6/E$8,0)+IF(E$13&gt;=4,E$12*E$11/E$13,0)+IF(E$18&gt;=4,E$17*E$16/E$18,0)+IF(E$23&gt;=4,E$22*E$21/E$23,0)+IF(E$28&gt;=4,E$27*E$26/E$28,0)+E$31</f>
        <v>24.166666666666668</v>
      </c>
      <c r="F54" s="254">
        <f t="shared" si="14"/>
        <v>7.25</v>
      </c>
      <c r="G54" s="254">
        <f t="shared" si="14"/>
        <v>14.5</v>
      </c>
      <c r="H54" s="254">
        <f t="shared" si="14"/>
        <v>14.5</v>
      </c>
      <c r="I54" s="254">
        <f>IF(I$8&gt;=4,I$7*I$6/I$8,0)+IF(I$13&gt;=4,I$12*I$11/I$13,0)+IF(I$18&gt;=4,I$17*I$16/I$18,0)+IF(I$23&gt;=4,I$22*I$21/I$23,0)+IF(I$28&gt;=4,I$27*I$26/I$28,0)+I$31</f>
        <v>14.5</v>
      </c>
      <c r="J54" s="254">
        <f t="shared" si="14"/>
        <v>24.166666666666668</v>
      </c>
      <c r="K54" s="254">
        <f t="shared" si="14"/>
        <v>10.633333333333333</v>
      </c>
      <c r="L54" s="254">
        <f>IF(L$8&gt;=4,L$7*L$6/L$8,0)+IF(L$13&gt;=4,L$12*L$11/L$13,0)+IF(L$18&gt;=4,L$17*L$16/L$18,0)+IF(L$23&gt;=4,L$22*L$21/L$23,0)+IF(L$28&gt;=4,L$27*L$26/L$28,0)+L$31</f>
        <v>10.633333333333333</v>
      </c>
      <c r="M54" s="254">
        <f t="shared" si="14"/>
        <v>0</v>
      </c>
      <c r="N54" s="254">
        <f t="shared" si="14"/>
        <v>0</v>
      </c>
      <c r="O54" s="254">
        <f t="shared" si="14"/>
        <v>0</v>
      </c>
      <c r="P54" s="254">
        <f t="shared" si="14"/>
        <v>0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t="13" hidden="1" x14ac:dyDescent="0.3">
      <c r="B55" s="511"/>
      <c r="C55" s="281" t="s">
        <v>66</v>
      </c>
      <c r="D55" s="282">
        <f t="shared" si="10"/>
        <v>120.35</v>
      </c>
      <c r="E55" s="254">
        <f t="shared" ref="E55:X55" si="15">IF(E$8&gt;=5,E$7*E$6/E$8,0)+IF(E$13&gt;=5,E$12*E$11/E$13,0)+IF(E$18&gt;=5,E$17*E$16/E$18,0)+IF(E$23&gt;=5,E$22*E$21/E$23,0)+IF(E$28&gt;=5,E$27*E$26/E$28,0)+E$31</f>
        <v>24.166666666666668</v>
      </c>
      <c r="F55" s="254">
        <f t="shared" si="15"/>
        <v>7.25</v>
      </c>
      <c r="G55" s="254">
        <f t="shared" si="15"/>
        <v>14.5</v>
      </c>
      <c r="H55" s="254">
        <f t="shared" si="15"/>
        <v>14.5</v>
      </c>
      <c r="I55" s="254">
        <f>IF(I$8&gt;=5,I$7*I$6/I$8,0)+IF(I$13&gt;=5,I$12*I$11/I$13,0)+IF(I$18&gt;=5,I$17*I$16/I$18,0)+IF(I$23&gt;=5,I$22*I$21/I$23,0)+IF(I$28&gt;=5,I$27*I$26/I$28,0)+I$31</f>
        <v>14.5</v>
      </c>
      <c r="J55" s="254">
        <f t="shared" si="15"/>
        <v>24.166666666666668</v>
      </c>
      <c r="K55" s="254">
        <f t="shared" si="15"/>
        <v>10.633333333333333</v>
      </c>
      <c r="L55" s="254">
        <f>IF(L$8&gt;=5,L$7*L$6/L$8,0)+IF(L$13&gt;=5,L$12*L$11/L$13,0)+IF(L$18&gt;=5,L$17*L$16/L$18,0)+IF(L$23&gt;=5,L$22*L$21/L$23,0)+IF(L$28&gt;=5,L$27*L$26/L$28,0)+L$31</f>
        <v>10.633333333333333</v>
      </c>
      <c r="M55" s="254">
        <f t="shared" si="15"/>
        <v>0</v>
      </c>
      <c r="N55" s="254">
        <f t="shared" si="15"/>
        <v>0</v>
      </c>
      <c r="O55" s="254">
        <f t="shared" si="15"/>
        <v>0</v>
      </c>
      <c r="P55" s="254">
        <f t="shared" si="15"/>
        <v>0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t="13" hidden="1" x14ac:dyDescent="0.3">
      <c r="B56" s="511"/>
      <c r="C56" s="281" t="s">
        <v>67</v>
      </c>
      <c r="D56" s="282">
        <f t="shared" si="10"/>
        <v>120.35</v>
      </c>
      <c r="E56" s="254">
        <f t="shared" ref="E56:X56" si="16">IF(E$8&gt;=6,E$7*E$6/E$8,0)+IF(E$13&gt;=6,E$12*E$11/E$13,0)+IF(E$18&gt;=6,E$17*E$16/E$18,0)+IF(E$23&gt;=6,E$22*E$21/E$23,0)+IF(E$28&gt;=6,E$27*E$26/E$28,0)+E$31</f>
        <v>24.166666666666668</v>
      </c>
      <c r="F56" s="254">
        <f t="shared" si="16"/>
        <v>7.25</v>
      </c>
      <c r="G56" s="254">
        <f t="shared" si="16"/>
        <v>14.5</v>
      </c>
      <c r="H56" s="254">
        <f t="shared" si="16"/>
        <v>14.5</v>
      </c>
      <c r="I56" s="254">
        <f>IF(I$8&gt;=6,I$7*I$6/I$8,0)+IF(I$13&gt;=6,I$12*I$11/I$13,0)+IF(I$18&gt;=6,I$17*I$16/I$18,0)+IF(I$23&gt;=6,I$22*I$21/I$23,0)+IF(I$28&gt;=6,I$27*I$26/I$28,0)+I$31</f>
        <v>14.5</v>
      </c>
      <c r="J56" s="254">
        <f t="shared" si="16"/>
        <v>24.166666666666668</v>
      </c>
      <c r="K56" s="254">
        <f t="shared" si="16"/>
        <v>10.633333333333333</v>
      </c>
      <c r="L56" s="254">
        <f>IF(L$8&gt;=6,L$7*L$6/L$8,0)+IF(L$13&gt;=6,L$12*L$11/L$13,0)+IF(L$18&gt;=6,L$17*L$16/L$18,0)+IF(L$23&gt;=6,L$22*L$21/L$23,0)+IF(L$28&gt;=6,L$27*L$26/L$28,0)+L$31</f>
        <v>10.633333333333333</v>
      </c>
      <c r="M56" s="254">
        <f t="shared" si="16"/>
        <v>0</v>
      </c>
      <c r="N56" s="254">
        <f t="shared" si="16"/>
        <v>0</v>
      </c>
      <c r="O56" s="254">
        <f t="shared" si="16"/>
        <v>0</v>
      </c>
      <c r="P56" s="254">
        <f t="shared" si="16"/>
        <v>0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t="13" hidden="1" x14ac:dyDescent="0.3">
      <c r="B57" s="511"/>
      <c r="C57" s="281" t="s">
        <v>68</v>
      </c>
      <c r="D57" s="282">
        <f t="shared" si="10"/>
        <v>120.35</v>
      </c>
      <c r="E57" s="254">
        <f t="shared" ref="E57:X57" si="17">IF(E$8&gt;=7,E$7*E$6/E$8,0)+IF(E$13&gt;=7,E$12*E$11/E$13,0)+IF(E$18&gt;=7,E$17*E$16/E$18,0)+IF(E$23&gt;=7,E$22*E$21/E$23,0)+IF(E$28&gt;=7,E$27*E$26/E$28,0)+E$31</f>
        <v>24.166666666666668</v>
      </c>
      <c r="F57" s="254">
        <f t="shared" si="17"/>
        <v>7.25</v>
      </c>
      <c r="G57" s="254">
        <f t="shared" si="17"/>
        <v>14.5</v>
      </c>
      <c r="H57" s="254">
        <f t="shared" si="17"/>
        <v>14.5</v>
      </c>
      <c r="I57" s="254">
        <f>IF(I$8&gt;=7,I$7*I$6/I$8,0)+IF(I$13&gt;=7,I$12*I$11/I$13,0)+IF(I$18&gt;=7,I$17*I$16/I$18,0)+IF(I$23&gt;=7,I$22*I$21/I$23,0)+IF(I$28&gt;=7,I$27*I$26/I$28,0)+I$31</f>
        <v>14.5</v>
      </c>
      <c r="J57" s="254">
        <f t="shared" si="17"/>
        <v>24.166666666666668</v>
      </c>
      <c r="K57" s="254">
        <f t="shared" si="17"/>
        <v>10.633333333333333</v>
      </c>
      <c r="L57" s="254">
        <f>IF(L$8&gt;=7,L$7*L$6/L$8,0)+IF(L$13&gt;=7,L$12*L$11/L$13,0)+IF(L$18&gt;=7,L$17*L$16/L$18,0)+IF(L$23&gt;=7,L$22*L$21/L$23,0)+IF(L$28&gt;=7,L$27*L$26/L$28,0)+L$31</f>
        <v>10.633333333333333</v>
      </c>
      <c r="M57" s="254">
        <f t="shared" si="17"/>
        <v>0</v>
      </c>
      <c r="N57" s="254">
        <f t="shared" si="17"/>
        <v>0</v>
      </c>
      <c r="O57" s="254">
        <f t="shared" si="17"/>
        <v>0</v>
      </c>
      <c r="P57" s="254">
        <f t="shared" si="17"/>
        <v>0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t="13" hidden="1" x14ac:dyDescent="0.3">
      <c r="B58" s="511"/>
      <c r="C58" s="281" t="s">
        <v>69</v>
      </c>
      <c r="D58" s="282">
        <f t="shared" si="10"/>
        <v>120.35</v>
      </c>
      <c r="E58" s="254">
        <f t="shared" ref="E58:X58" si="18">IF(E$8&gt;=8,E$7*E$6/E$8,0)+IF(E$13&gt;=8,E$12*E$11/E$13,0)+IF(E$18&gt;=8,E$17*E$16/E$18,0)+IF(E$23&gt;=8,E$22*E$21/E$23,0)+IF(E$28&gt;=8,E$27*E$26/E$28,0)+E$31</f>
        <v>24.166666666666668</v>
      </c>
      <c r="F58" s="254">
        <f t="shared" si="18"/>
        <v>7.25</v>
      </c>
      <c r="G58" s="254">
        <f t="shared" si="18"/>
        <v>14.5</v>
      </c>
      <c r="H58" s="254">
        <f t="shared" si="18"/>
        <v>14.5</v>
      </c>
      <c r="I58" s="254">
        <f>IF(I$8&gt;=8,I$7*I$6/I$8,0)+IF(I$13&gt;=8,I$12*I$11/I$13,0)+IF(I$18&gt;=8,I$17*I$16/I$18,0)+IF(I$23&gt;=8,I$22*I$21/I$23,0)+IF(I$28&gt;=8,I$27*I$26/I$28,0)+I$31</f>
        <v>14.5</v>
      </c>
      <c r="J58" s="254">
        <f t="shared" si="18"/>
        <v>24.166666666666668</v>
      </c>
      <c r="K58" s="254">
        <f t="shared" si="18"/>
        <v>10.633333333333333</v>
      </c>
      <c r="L58" s="254">
        <f>IF(L$8&gt;=8,L$7*L$6/L$8,0)+IF(L$13&gt;=8,L$12*L$11/L$13,0)+IF(L$18&gt;=8,L$17*L$16/L$18,0)+IF(L$23&gt;=8,L$22*L$21/L$23,0)+IF(L$28&gt;=8,L$27*L$26/L$28,0)+L$31</f>
        <v>10.633333333333333</v>
      </c>
      <c r="M58" s="254">
        <f t="shared" si="18"/>
        <v>0</v>
      </c>
      <c r="N58" s="254">
        <f t="shared" si="18"/>
        <v>0</v>
      </c>
      <c r="O58" s="254">
        <f t="shared" si="18"/>
        <v>0</v>
      </c>
      <c r="P58" s="254">
        <f t="shared" si="18"/>
        <v>0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t="13" hidden="1" x14ac:dyDescent="0.3">
      <c r="B59" s="511"/>
      <c r="C59" s="281" t="s">
        <v>70</v>
      </c>
      <c r="D59" s="282">
        <f t="shared" si="10"/>
        <v>120.35</v>
      </c>
      <c r="E59" s="254">
        <f t="shared" ref="E59:X59" si="19">IF(E$8&gt;=9,E$7*E$6/E$8,0)+IF(E$13&gt;=9,E$12*E$11/E$13,0)+IF(E$18&gt;=9,E$17*E$16/E$18,0)+IF(E$23&gt;=9,E$22*E$21/E$23,0)+IF(E$28&gt;=9,E$27*E$26/E$28,0)+E$31</f>
        <v>24.166666666666668</v>
      </c>
      <c r="F59" s="254">
        <f t="shared" si="19"/>
        <v>7.25</v>
      </c>
      <c r="G59" s="254">
        <f t="shared" si="19"/>
        <v>14.5</v>
      </c>
      <c r="H59" s="254">
        <f t="shared" si="19"/>
        <v>14.5</v>
      </c>
      <c r="I59" s="254">
        <f>IF(I$8&gt;=9,I$7*I$6/I$8,0)+IF(I$13&gt;=9,I$12*I$11/I$13,0)+IF(I$18&gt;=9,I$17*I$16/I$18,0)+IF(I$23&gt;=9,I$22*I$21/I$23,0)+IF(I$28&gt;=9,I$27*I$26/I$28,0)+I$31</f>
        <v>14.5</v>
      </c>
      <c r="J59" s="254">
        <f t="shared" si="19"/>
        <v>24.166666666666668</v>
      </c>
      <c r="K59" s="254">
        <f t="shared" si="19"/>
        <v>10.633333333333333</v>
      </c>
      <c r="L59" s="254">
        <f>IF(L$8&gt;=9,L$7*L$6/L$8,0)+IF(L$13&gt;=9,L$12*L$11/L$13,0)+IF(L$18&gt;=9,L$17*L$16/L$18,0)+IF(L$23&gt;=9,L$22*L$21/L$23,0)+IF(L$28&gt;=9,L$27*L$26/L$28,0)+L$31</f>
        <v>10.633333333333333</v>
      </c>
      <c r="M59" s="254">
        <f t="shared" si="19"/>
        <v>0</v>
      </c>
      <c r="N59" s="254">
        <f t="shared" si="19"/>
        <v>0</v>
      </c>
      <c r="O59" s="254">
        <f t="shared" si="19"/>
        <v>0</v>
      </c>
      <c r="P59" s="254">
        <f t="shared" si="19"/>
        <v>0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t="13" hidden="1" x14ac:dyDescent="0.3">
      <c r="B60" s="511"/>
      <c r="C60" s="281" t="s">
        <v>71</v>
      </c>
      <c r="D60" s="282">
        <f t="shared" si="10"/>
        <v>120.35</v>
      </c>
      <c r="E60" s="254">
        <f t="shared" ref="E60:X60" si="20">IF(E$8&gt;=10,E$7*E$6/E$8,0)+IF(E$13&gt;=10,E$12*E$11/E$13,0)+IF(E$18&gt;=10,E$17*E$16/E$18,0)+IF(E$23&gt;=10,E$22*E$21/E$23,0)+IF(E$28&gt;=10,E$27*E$26/E$28,0)+E$31</f>
        <v>24.166666666666668</v>
      </c>
      <c r="F60" s="254">
        <f t="shared" si="20"/>
        <v>7.25</v>
      </c>
      <c r="G60" s="254">
        <f t="shared" si="20"/>
        <v>14.5</v>
      </c>
      <c r="H60" s="254">
        <f t="shared" si="20"/>
        <v>14.5</v>
      </c>
      <c r="I60" s="254">
        <f>IF(I$8&gt;=10,I$7*I$6/I$8,0)+IF(I$13&gt;=10,I$12*I$11/I$13,0)+IF(I$18&gt;=10,I$17*I$16/I$18,0)+IF(I$23&gt;=10,I$22*I$21/I$23,0)+IF(I$28&gt;=10,I$27*I$26/I$28,0)+I$31</f>
        <v>14.5</v>
      </c>
      <c r="J60" s="254">
        <f t="shared" si="20"/>
        <v>24.166666666666668</v>
      </c>
      <c r="K60" s="254">
        <f t="shared" si="20"/>
        <v>10.633333333333333</v>
      </c>
      <c r="L60" s="254">
        <f>IF(L$8&gt;=10,L$7*L$6/L$8,0)+IF(L$13&gt;=10,L$12*L$11/L$13,0)+IF(L$18&gt;=10,L$17*L$16/L$18,0)+IF(L$23&gt;=10,L$22*L$21/L$23,0)+IF(L$28&gt;=10,L$27*L$26/L$28,0)+L$31</f>
        <v>10.633333333333333</v>
      </c>
      <c r="M60" s="254">
        <f t="shared" si="20"/>
        <v>0</v>
      </c>
      <c r="N60" s="254">
        <f t="shared" si="20"/>
        <v>0</v>
      </c>
      <c r="O60" s="254">
        <f t="shared" si="20"/>
        <v>0</v>
      </c>
      <c r="P60" s="254">
        <f t="shared" si="20"/>
        <v>0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t="13" hidden="1" x14ac:dyDescent="0.3">
      <c r="B61" s="511"/>
      <c r="C61" s="281" t="s">
        <v>72</v>
      </c>
      <c r="D61" s="282">
        <f t="shared" si="10"/>
        <v>120.35</v>
      </c>
      <c r="E61" s="254">
        <f t="shared" ref="E61:X61" si="21">IF(E$8&gt;=11,E$7*E$6/E$8,0)+IF(E$13&gt;=11,E$12*E$11/E$13,0)+IF(E$18&gt;=11,E$17*E$16/E$18,0)+IF(E$23&gt;=11,E$22*E$21/E$23,0)+IF(E$28&gt;=11,E$27*E$26/E$28,0)+E$31</f>
        <v>24.166666666666668</v>
      </c>
      <c r="F61" s="254">
        <f t="shared" si="21"/>
        <v>7.25</v>
      </c>
      <c r="G61" s="254">
        <f t="shared" si="21"/>
        <v>14.5</v>
      </c>
      <c r="H61" s="254">
        <f t="shared" si="21"/>
        <v>14.5</v>
      </c>
      <c r="I61" s="254">
        <f>IF(I$8&gt;=11,I$7*I$6/I$8,0)+IF(I$13&gt;=11,I$12*I$11/I$13,0)+IF(I$18&gt;=11,I$17*I$16/I$18,0)+IF(I$23&gt;=11,I$22*I$21/I$23,0)+IF(I$28&gt;=11,I$27*I$26/I$28,0)+I$31</f>
        <v>14.5</v>
      </c>
      <c r="J61" s="254">
        <f t="shared" si="21"/>
        <v>24.166666666666668</v>
      </c>
      <c r="K61" s="254">
        <f t="shared" si="21"/>
        <v>10.633333333333333</v>
      </c>
      <c r="L61" s="254">
        <f>IF(L$8&gt;=11,L$7*L$6/L$8,0)+IF(L$13&gt;=11,L$12*L$11/L$13,0)+IF(L$18&gt;=11,L$17*L$16/L$18,0)+IF(L$23&gt;=11,L$22*L$21/L$23,0)+IF(L$28&gt;=11,L$27*L$26/L$28,0)+L$31</f>
        <v>10.633333333333333</v>
      </c>
      <c r="M61" s="254">
        <f t="shared" si="21"/>
        <v>0</v>
      </c>
      <c r="N61" s="254">
        <f t="shared" si="21"/>
        <v>0</v>
      </c>
      <c r="O61" s="254">
        <f t="shared" si="21"/>
        <v>0</v>
      </c>
      <c r="P61" s="254">
        <f t="shared" si="21"/>
        <v>0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t="13" hidden="1" x14ac:dyDescent="0.3">
      <c r="B62" s="511"/>
      <c r="C62" s="281" t="s">
        <v>73</v>
      </c>
      <c r="D62" s="282">
        <f t="shared" si="10"/>
        <v>120.35</v>
      </c>
      <c r="E62" s="254">
        <f t="shared" ref="E62:X62" si="22">IF(E$8&gt;=12,E$7*E$6/E$8,0)+IF(E$13&gt;=12,E$12*E$11/E$13,0)+IF(E$18&gt;=12,E$17*E$16/E$18,0)+IF(E$23&gt;=12,E$22*E$21/E$23,0)+IF(E$28&gt;=12,E$27*E$26/E$28,0)+E$31</f>
        <v>24.166666666666668</v>
      </c>
      <c r="F62" s="254">
        <f t="shared" si="22"/>
        <v>7.25</v>
      </c>
      <c r="G62" s="254">
        <f t="shared" si="22"/>
        <v>14.5</v>
      </c>
      <c r="H62" s="254">
        <f t="shared" si="22"/>
        <v>14.5</v>
      </c>
      <c r="I62" s="254">
        <f>IF(I$8&gt;=12,I$7*I$6/I$8,0)+IF(I$13&gt;=12,I$12*I$11/I$13,0)+IF(I$18&gt;=12,I$17*I$16/I$18,0)+IF(I$23&gt;=12,I$22*I$21/I$23,0)+IF(I$28&gt;=12,I$27*I$26/I$28,0)+I$31</f>
        <v>14.5</v>
      </c>
      <c r="J62" s="254">
        <f t="shared" si="22"/>
        <v>24.166666666666668</v>
      </c>
      <c r="K62" s="254">
        <f t="shared" si="22"/>
        <v>10.633333333333333</v>
      </c>
      <c r="L62" s="254">
        <f>IF(L$8&gt;=12,L$7*L$6/L$8,0)+IF(L$13&gt;=12,L$12*L$11/L$13,0)+IF(L$18&gt;=12,L$17*L$16/L$18,0)+IF(L$23&gt;=12,L$22*L$21/L$23,0)+IF(L$28&gt;=12,L$27*L$26/L$28,0)+L$31</f>
        <v>10.633333333333333</v>
      </c>
      <c r="M62" s="254">
        <f t="shared" si="22"/>
        <v>0</v>
      </c>
      <c r="N62" s="254">
        <f t="shared" si="22"/>
        <v>0</v>
      </c>
      <c r="O62" s="254">
        <f t="shared" si="22"/>
        <v>0</v>
      </c>
      <c r="P62" s="254">
        <f t="shared" si="22"/>
        <v>0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t="13" hidden="1" x14ac:dyDescent="0.3">
      <c r="B63" s="511"/>
      <c r="C63" s="281" t="s">
        <v>74</v>
      </c>
      <c r="D63" s="282">
        <f t="shared" si="10"/>
        <v>120.35</v>
      </c>
      <c r="E63" s="254">
        <f t="shared" ref="E63:X63" si="23">IF(E$8&gt;=13,E$7*E$6/E$8,0)+IF(E$13&gt;=13,E$12*E$11/E$13,0)+IF(E$18&gt;=13,E$17*E$16/E$18,0)+IF(E$23&gt;=13,E$22*E$21/E$23,0)+IF(E$28&gt;=13,E$27*E$26/E$28,0)+E$31</f>
        <v>24.166666666666668</v>
      </c>
      <c r="F63" s="254">
        <f t="shared" si="23"/>
        <v>7.25</v>
      </c>
      <c r="G63" s="254">
        <f t="shared" si="23"/>
        <v>14.5</v>
      </c>
      <c r="H63" s="254">
        <f t="shared" si="23"/>
        <v>14.5</v>
      </c>
      <c r="I63" s="254">
        <f>IF(I$8&gt;=13,I$7*I$6/I$8,0)+IF(I$13&gt;=13,I$12*I$11/I$13,0)+IF(I$18&gt;=13,I$17*I$16/I$18,0)+IF(I$23&gt;=13,I$22*I$21/I$23,0)+IF(I$28&gt;=13,I$27*I$26/I$28,0)+I$31</f>
        <v>14.5</v>
      </c>
      <c r="J63" s="254">
        <f t="shared" si="23"/>
        <v>24.166666666666668</v>
      </c>
      <c r="K63" s="254">
        <f t="shared" si="23"/>
        <v>10.633333333333333</v>
      </c>
      <c r="L63" s="254">
        <f>IF(L$8&gt;=13,L$7*L$6/L$8,0)+IF(L$13&gt;=13,L$12*L$11/L$13,0)+IF(L$18&gt;=13,L$17*L$16/L$18,0)+IF(L$23&gt;=13,L$22*L$21/L$23,0)+IF(L$28&gt;=13,L$27*L$26/L$28,0)+L$31</f>
        <v>10.633333333333333</v>
      </c>
      <c r="M63" s="254">
        <f t="shared" si="23"/>
        <v>0</v>
      </c>
      <c r="N63" s="254">
        <f t="shared" si="23"/>
        <v>0</v>
      </c>
      <c r="O63" s="254">
        <f t="shared" si="23"/>
        <v>0</v>
      </c>
      <c r="P63" s="254">
        <f t="shared" si="23"/>
        <v>0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t="13" hidden="1" x14ac:dyDescent="0.3">
      <c r="B64" s="511"/>
      <c r="C64" s="281" t="s">
        <v>75</v>
      </c>
      <c r="D64" s="282">
        <f t="shared" si="10"/>
        <v>120.35</v>
      </c>
      <c r="E64" s="254">
        <f t="shared" ref="E64:X64" si="24">IF(E$8&gt;=14,E$7*E$6/E$8,0)+IF(E$13&gt;=14,E$12*E$11/E$13,0)+IF(E$18&gt;=14,E$17*E$16/E$18,0)+IF(E$23&gt;=14,E$22*E$21/E$23,0)+IF(E$28&gt;=14,E$27*E$26/E$28,0)+E$31</f>
        <v>24.166666666666668</v>
      </c>
      <c r="F64" s="254">
        <f t="shared" si="24"/>
        <v>7.25</v>
      </c>
      <c r="G64" s="254">
        <f t="shared" si="24"/>
        <v>14.5</v>
      </c>
      <c r="H64" s="254">
        <f t="shared" si="24"/>
        <v>14.5</v>
      </c>
      <c r="I64" s="254">
        <f>IF(I$8&gt;=14,I$7*I$6/I$8,0)+IF(I$13&gt;=14,I$12*I$11/I$13,0)+IF(I$18&gt;=14,I$17*I$16/I$18,0)+IF(I$23&gt;=14,I$22*I$21/I$23,0)+IF(I$28&gt;=14,I$27*I$26/I$28,0)+I$31</f>
        <v>14.5</v>
      </c>
      <c r="J64" s="254">
        <f t="shared" si="24"/>
        <v>24.166666666666668</v>
      </c>
      <c r="K64" s="254">
        <f t="shared" si="24"/>
        <v>10.633333333333333</v>
      </c>
      <c r="L64" s="254">
        <f>IF(L$8&gt;=14,L$7*L$6/L$8,0)+IF(L$13&gt;=14,L$12*L$11/L$13,0)+IF(L$18&gt;=14,L$17*L$16/L$18,0)+IF(L$23&gt;=14,L$22*L$21/L$23,0)+IF(L$28&gt;=14,L$27*L$26/L$28,0)+L$31</f>
        <v>10.633333333333333</v>
      </c>
      <c r="M64" s="254">
        <f t="shared" si="24"/>
        <v>0</v>
      </c>
      <c r="N64" s="254">
        <f t="shared" si="24"/>
        <v>0</v>
      </c>
      <c r="O64" s="254">
        <f t="shared" si="24"/>
        <v>0</v>
      </c>
      <c r="P64" s="254">
        <f t="shared" si="24"/>
        <v>0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t="13" hidden="1" x14ac:dyDescent="0.3">
      <c r="B65" s="511"/>
      <c r="C65" s="281" t="s">
        <v>76</v>
      </c>
      <c r="D65" s="282">
        <f t="shared" si="10"/>
        <v>120.35</v>
      </c>
      <c r="E65" s="254">
        <f t="shared" ref="E65:X65" si="25">IF(E$8&gt;=15,E$7*E$6/E$8,0)+IF(E$13&gt;=15,E$12*E$11/E$13,0)+IF(E$18&gt;=15,E$17*E$16/E$18,0)+IF(E$23&gt;=15,E$22*E$21/E$23,0)+IF(E$28&gt;=15,E$27*E$26/E$28,0)+E$31</f>
        <v>24.166666666666668</v>
      </c>
      <c r="F65" s="254">
        <f t="shared" si="25"/>
        <v>7.25</v>
      </c>
      <c r="G65" s="254">
        <f t="shared" si="25"/>
        <v>14.5</v>
      </c>
      <c r="H65" s="254">
        <f t="shared" si="25"/>
        <v>14.5</v>
      </c>
      <c r="I65" s="254">
        <f>IF(I$8&gt;=15,I$7*I$6/I$8,0)+IF(I$13&gt;=15,I$12*I$11/I$13,0)+IF(I$18&gt;=15,I$17*I$16/I$18,0)+IF(I$23&gt;=15,I$22*I$21/I$23,0)+IF(I$28&gt;=15,I$27*I$26/I$28,0)+I$31</f>
        <v>14.5</v>
      </c>
      <c r="J65" s="254">
        <f t="shared" si="25"/>
        <v>24.166666666666668</v>
      </c>
      <c r="K65" s="254">
        <f t="shared" si="25"/>
        <v>10.633333333333333</v>
      </c>
      <c r="L65" s="254">
        <f>IF(L$8&gt;=15,L$7*L$6/L$8,0)+IF(L$13&gt;=15,L$12*L$11/L$13,0)+IF(L$18&gt;=15,L$17*L$16/L$18,0)+IF(L$23&gt;=15,L$22*L$21/L$23,0)+IF(L$28&gt;=15,L$27*L$26/L$28,0)+L$31</f>
        <v>10.633333333333333</v>
      </c>
      <c r="M65" s="254">
        <f t="shared" si="25"/>
        <v>0</v>
      </c>
      <c r="N65" s="254">
        <f t="shared" si="25"/>
        <v>0</v>
      </c>
      <c r="O65" s="254">
        <f t="shared" si="25"/>
        <v>0</v>
      </c>
      <c r="P65" s="254">
        <f t="shared" si="25"/>
        <v>0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t="13" hidden="1" x14ac:dyDescent="0.3">
      <c r="B66" s="511"/>
      <c r="C66" s="281" t="s">
        <v>77</v>
      </c>
      <c r="D66" s="282">
        <f t="shared" si="10"/>
        <v>37.349999999999994</v>
      </c>
      <c r="E66" s="254">
        <f t="shared" ref="E66:X66" si="26">IF(E$8&gt;=16,E$7*E$6/E$8,0)+IF(E$13&gt;=16,E$12*E$11/E$13,0)+IF(E$18&gt;=16,E$17*E$16/E$18,0)+IF(E$23&gt;=16,E$22*E$21/E$23,0)+IF(E$28&gt;=16,E$27*E$26/E$28,0)+E$31</f>
        <v>7.5</v>
      </c>
      <c r="F66" s="254">
        <f t="shared" si="26"/>
        <v>2.25</v>
      </c>
      <c r="G66" s="254">
        <f t="shared" si="26"/>
        <v>4.5</v>
      </c>
      <c r="H66" s="254">
        <f t="shared" si="26"/>
        <v>4.5</v>
      </c>
      <c r="I66" s="254">
        <f>IF(I$8&gt;=16,I$7*I$6/I$8,0)+IF(I$13&gt;=16,I$12*I$11/I$13,0)+IF(I$18&gt;=16,I$17*I$16/I$18,0)+IF(I$23&gt;=16,I$22*I$21/I$23,0)+IF(I$28&gt;=16,I$27*I$26/I$28,0)+I$31</f>
        <v>4.5</v>
      </c>
      <c r="J66" s="254">
        <f t="shared" si="26"/>
        <v>7.5</v>
      </c>
      <c r="K66" s="254">
        <f t="shared" si="26"/>
        <v>3.3</v>
      </c>
      <c r="L66" s="254">
        <f>IF(L$8&gt;=16,L$7*L$6/L$8,0)+IF(L$13&gt;=16,L$12*L$11/L$13,0)+IF(L$18&gt;=16,L$17*L$16/L$18,0)+IF(L$23&gt;=16,L$22*L$21/L$23,0)+IF(L$28&gt;=16,L$27*L$26/L$28,0)+L$31</f>
        <v>3.3</v>
      </c>
      <c r="M66" s="254">
        <f t="shared" si="26"/>
        <v>0</v>
      </c>
      <c r="N66" s="254">
        <f t="shared" si="26"/>
        <v>0</v>
      </c>
      <c r="O66" s="254">
        <f t="shared" si="26"/>
        <v>0</v>
      </c>
      <c r="P66" s="254">
        <f t="shared" si="26"/>
        <v>0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t="13" hidden="1" x14ac:dyDescent="0.3">
      <c r="B67" s="511"/>
      <c r="C67" s="281" t="s">
        <v>78</v>
      </c>
      <c r="D67" s="282">
        <f t="shared" si="10"/>
        <v>37.349999999999994</v>
      </c>
      <c r="E67" s="254">
        <f t="shared" ref="E67:X67" si="27">IF(E$8&gt;=17,E$7*E$6/E$8,0)+IF(E$13&gt;=17,E$12*E$11/E$13,0)+IF(E$18&gt;=17,E$17*E$16/E$18,0)+IF(E$23&gt;=17,E$22*E$21/E$23,0)+IF(E$28&gt;=17,E$27*E$26/E$28,0)+E$31</f>
        <v>7.5</v>
      </c>
      <c r="F67" s="254">
        <f t="shared" si="27"/>
        <v>2.25</v>
      </c>
      <c r="G67" s="254">
        <f t="shared" si="27"/>
        <v>4.5</v>
      </c>
      <c r="H67" s="254">
        <f t="shared" si="27"/>
        <v>4.5</v>
      </c>
      <c r="I67" s="254">
        <f>IF(I$8&gt;=17,I$7*I$6/I$8,0)+IF(I$13&gt;=17,I$12*I$11/I$13,0)+IF(I$18&gt;=17,I$17*I$16/I$18,0)+IF(I$23&gt;=17,I$22*I$21/I$23,0)+IF(I$28&gt;=17,I$27*I$26/I$28,0)+I$31</f>
        <v>4.5</v>
      </c>
      <c r="J67" s="254">
        <f t="shared" si="27"/>
        <v>7.5</v>
      </c>
      <c r="K67" s="254">
        <f t="shared" si="27"/>
        <v>3.3</v>
      </c>
      <c r="L67" s="254">
        <f>IF(L$8&gt;=17,L$7*L$6/L$8,0)+IF(L$13&gt;=17,L$12*L$11/L$13,0)+IF(L$18&gt;=17,L$17*L$16/L$18,0)+IF(L$23&gt;=17,L$22*L$21/L$23,0)+IF(L$28&gt;=17,L$27*L$26/L$28,0)+L$31</f>
        <v>3.3</v>
      </c>
      <c r="M67" s="254">
        <f t="shared" si="27"/>
        <v>0</v>
      </c>
      <c r="N67" s="254">
        <f t="shared" si="27"/>
        <v>0</v>
      </c>
      <c r="O67" s="254">
        <f t="shared" si="27"/>
        <v>0</v>
      </c>
      <c r="P67" s="254">
        <f t="shared" si="27"/>
        <v>0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t="13" hidden="1" x14ac:dyDescent="0.3">
      <c r="B68" s="511"/>
      <c r="C68" s="281" t="s">
        <v>79</v>
      </c>
      <c r="D68" s="282">
        <f t="shared" si="10"/>
        <v>37.349999999999994</v>
      </c>
      <c r="E68" s="254">
        <f t="shared" ref="E68:X68" si="28">IF(E$8&gt;=18,E$7*E$6/E$8,0)+IF(E$13&gt;=18,E$12*E$11/E$13,0)+IF(E$18&gt;=18,E$17*E$16/E$18,0)+IF(E$23&gt;=18,E$22*E$21/E$23,0)+IF(E$28&gt;=18,E$27*E$26/E$28,0)+E$31</f>
        <v>7.5</v>
      </c>
      <c r="F68" s="254">
        <f t="shared" si="28"/>
        <v>2.25</v>
      </c>
      <c r="G68" s="254">
        <f t="shared" si="28"/>
        <v>4.5</v>
      </c>
      <c r="H68" s="254">
        <f t="shared" si="28"/>
        <v>4.5</v>
      </c>
      <c r="I68" s="254">
        <f>IF(I$8&gt;=18,I$7*I$6/I$8,0)+IF(I$13&gt;=18,I$12*I$11/I$13,0)+IF(I$18&gt;=18,I$17*I$16/I$18,0)+IF(I$23&gt;=18,I$22*I$21/I$23,0)+IF(I$28&gt;=18,I$27*I$26/I$28,0)+I$31</f>
        <v>4.5</v>
      </c>
      <c r="J68" s="254">
        <f t="shared" si="28"/>
        <v>7.5</v>
      </c>
      <c r="K68" s="254">
        <f t="shared" si="28"/>
        <v>3.3</v>
      </c>
      <c r="L68" s="254">
        <f>IF(L$8&gt;=18,L$7*L$6/L$8,0)+IF(L$13&gt;=18,L$12*L$11/L$13,0)+IF(L$18&gt;=18,L$17*L$16/L$18,0)+IF(L$23&gt;=18,L$22*L$21/L$23,0)+IF(L$28&gt;=18,L$27*L$26/L$28,0)+L$31</f>
        <v>3.3</v>
      </c>
      <c r="M68" s="254">
        <f t="shared" si="28"/>
        <v>0</v>
      </c>
      <c r="N68" s="254">
        <f t="shared" si="28"/>
        <v>0</v>
      </c>
      <c r="O68" s="254">
        <f t="shared" si="28"/>
        <v>0</v>
      </c>
      <c r="P68" s="254">
        <f t="shared" si="28"/>
        <v>0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t="13" hidden="1" x14ac:dyDescent="0.3">
      <c r="B69" s="511"/>
      <c r="C69" s="281" t="s">
        <v>80</v>
      </c>
      <c r="D69" s="282">
        <f t="shared" si="10"/>
        <v>37.349999999999994</v>
      </c>
      <c r="E69" s="254">
        <f t="shared" ref="E69:X69" si="29">IF(E$8&gt;=19,E$7*E$6/E$8,0)+IF(E$13&gt;=19,E$12*E$11/E$13,0)+IF(E$18&gt;=19,E$17*E$16/E$18,0)+IF(E$23&gt;=19,E$22*E$21/E$23,0)+IF(E$28&gt;=19,E$27*E$26/E$28,0)+E$31</f>
        <v>7.5</v>
      </c>
      <c r="F69" s="254">
        <f t="shared" si="29"/>
        <v>2.25</v>
      </c>
      <c r="G69" s="254">
        <f t="shared" si="29"/>
        <v>4.5</v>
      </c>
      <c r="H69" s="254">
        <f t="shared" si="29"/>
        <v>4.5</v>
      </c>
      <c r="I69" s="254">
        <f>IF(I$8&gt;=19,I$7*I$6/I$8,0)+IF(I$13&gt;=19,I$12*I$11/I$13,0)+IF(I$18&gt;=19,I$17*I$16/I$18,0)+IF(I$23&gt;=19,I$22*I$21/I$23,0)+IF(I$28&gt;=19,I$27*I$26/I$28,0)+I$31</f>
        <v>4.5</v>
      </c>
      <c r="J69" s="254">
        <f t="shared" si="29"/>
        <v>7.5</v>
      </c>
      <c r="K69" s="254">
        <f t="shared" si="29"/>
        <v>3.3</v>
      </c>
      <c r="L69" s="254">
        <f>IF(L$8&gt;=19,L$7*L$6/L$8,0)+IF(L$13&gt;=19,L$12*L$11/L$13,0)+IF(L$18&gt;=19,L$17*L$16/L$18,0)+IF(L$23&gt;=19,L$22*L$21/L$23,0)+IF(L$28&gt;=19,L$27*L$26/L$28,0)+L$31</f>
        <v>3.3</v>
      </c>
      <c r="M69" s="254">
        <f t="shared" si="29"/>
        <v>0</v>
      </c>
      <c r="N69" s="254">
        <f t="shared" si="29"/>
        <v>0</v>
      </c>
      <c r="O69" s="254">
        <f t="shared" si="29"/>
        <v>0</v>
      </c>
      <c r="P69" s="254">
        <f t="shared" si="29"/>
        <v>0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t="13" hidden="1" x14ac:dyDescent="0.3">
      <c r="B70" s="511"/>
      <c r="C70" s="281" t="s">
        <v>81</v>
      </c>
      <c r="D70" s="282">
        <f t="shared" si="10"/>
        <v>37.349999999999994</v>
      </c>
      <c r="E70" s="254">
        <f t="shared" ref="E70:X70" si="30">IF(E$8&gt;=20,E$7*E$6/E$8,0)+IF(E$13&gt;=20,E$12*E$11/E$13,0)+IF(E$18&gt;=20,E$17*E$16/E$18,0)+IF(E$23&gt;=20,E$22*E$21/E$23,0)+IF(E$28&gt;=20,E$27*E$26/E$28,0)+E$31</f>
        <v>7.5</v>
      </c>
      <c r="F70" s="254">
        <f t="shared" si="30"/>
        <v>2.25</v>
      </c>
      <c r="G70" s="254">
        <f t="shared" si="30"/>
        <v>4.5</v>
      </c>
      <c r="H70" s="254">
        <f t="shared" si="30"/>
        <v>4.5</v>
      </c>
      <c r="I70" s="254">
        <f>IF(I$8&gt;=20,I$7*I$6/I$8,0)+IF(I$13&gt;=20,I$12*I$11/I$13,0)+IF(I$18&gt;=20,I$17*I$16/I$18,0)+IF(I$23&gt;=20,I$22*I$21/I$23,0)+IF(I$28&gt;=20,I$27*I$26/I$28,0)+I$31</f>
        <v>4.5</v>
      </c>
      <c r="J70" s="254">
        <f t="shared" si="30"/>
        <v>7.5</v>
      </c>
      <c r="K70" s="254">
        <f t="shared" si="30"/>
        <v>3.3</v>
      </c>
      <c r="L70" s="254">
        <f>IF(L$8&gt;=20,L$7*L$6/L$8,0)+IF(L$13&gt;=20,L$12*L$11/L$13,0)+IF(L$18&gt;=20,L$17*L$16/L$18,0)+IF(L$23&gt;=20,L$22*L$21/L$23,0)+IF(L$28&gt;=20,L$27*L$26/L$28,0)+L$31</f>
        <v>3.3</v>
      </c>
      <c r="M70" s="254">
        <f t="shared" si="30"/>
        <v>0</v>
      </c>
      <c r="N70" s="254">
        <f t="shared" si="30"/>
        <v>0</v>
      </c>
      <c r="O70" s="254">
        <f t="shared" si="30"/>
        <v>0</v>
      </c>
      <c r="P70" s="254">
        <f t="shared" si="30"/>
        <v>0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t="13" hidden="1" x14ac:dyDescent="0.3">
      <c r="B71" s="511"/>
      <c r="C71" s="281" t="s">
        <v>82</v>
      </c>
      <c r="D71" s="282">
        <f t="shared" si="10"/>
        <v>37.349999999999994</v>
      </c>
      <c r="E71" s="254">
        <f t="shared" ref="E71:X71" si="31">IF(E$8&gt;=21,E$7*E$6/E$8,0)+IF(E$13&gt;=21,E$12*E$11/E$13,0)+IF(E$18&gt;=21,E$17*E$16/E$18,0)+IF(E$23&gt;=21,E$22*E$21/E$23,0)+IF(E$28&gt;=21,E$27*E$26/E$28,0)+E$31</f>
        <v>7.5</v>
      </c>
      <c r="F71" s="254">
        <f t="shared" si="31"/>
        <v>2.25</v>
      </c>
      <c r="G71" s="254">
        <f t="shared" si="31"/>
        <v>4.5</v>
      </c>
      <c r="H71" s="254">
        <f t="shared" si="31"/>
        <v>4.5</v>
      </c>
      <c r="I71" s="254">
        <f>IF(I$8&gt;=21,I$7*I$6/I$8,0)+IF(I$13&gt;=21,I$12*I$11/I$13,0)+IF(I$18&gt;=21,I$17*I$16/I$18,0)+IF(I$23&gt;=21,I$22*I$21/I$23,0)+IF(I$28&gt;=21,I$27*I$26/I$28,0)+I$31</f>
        <v>4.5</v>
      </c>
      <c r="J71" s="254">
        <f t="shared" si="31"/>
        <v>7.5</v>
      </c>
      <c r="K71" s="254">
        <f t="shared" si="31"/>
        <v>3.3</v>
      </c>
      <c r="L71" s="254">
        <f>IF(L$8&gt;=21,L$7*L$6/L$8,0)+IF(L$13&gt;=21,L$12*L$11/L$13,0)+IF(L$18&gt;=21,L$17*L$16/L$18,0)+IF(L$23&gt;=21,L$22*L$21/L$23,0)+IF(L$28&gt;=21,L$27*L$26/L$28,0)+L$31</f>
        <v>3.3</v>
      </c>
      <c r="M71" s="254">
        <f t="shared" si="31"/>
        <v>0</v>
      </c>
      <c r="N71" s="254">
        <f t="shared" si="31"/>
        <v>0</v>
      </c>
      <c r="O71" s="254">
        <f t="shared" si="31"/>
        <v>0</v>
      </c>
      <c r="P71" s="254">
        <f t="shared" si="31"/>
        <v>0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t="13" hidden="1" x14ac:dyDescent="0.3">
      <c r="B72" s="511"/>
      <c r="C72" s="281" t="s">
        <v>83</v>
      </c>
      <c r="D72" s="282">
        <f t="shared" si="10"/>
        <v>37.349999999999994</v>
      </c>
      <c r="E72" s="254">
        <f t="shared" ref="E72:X72" si="32">IF(E$8&gt;=22,E$7*E$6/E$8,0)+IF(E$13&gt;=22,E$12*E$11/E$13,0)+IF(E$18&gt;=22,E$17*E$16/E$18,0)+IF(E$23&gt;=22,E$22*E$21/E$23,0)+IF(E$28&gt;=22,E$27*E$26/E$28,0)+E$31</f>
        <v>7.5</v>
      </c>
      <c r="F72" s="254">
        <f t="shared" si="32"/>
        <v>2.25</v>
      </c>
      <c r="G72" s="254">
        <f t="shared" si="32"/>
        <v>4.5</v>
      </c>
      <c r="H72" s="254">
        <f t="shared" si="32"/>
        <v>4.5</v>
      </c>
      <c r="I72" s="254">
        <f>IF(I$8&gt;=22,I$7*I$6/I$8,0)+IF(I$13&gt;=22,I$12*I$11/I$13,0)+IF(I$18&gt;=22,I$17*I$16/I$18,0)+IF(I$23&gt;=22,I$22*I$21/I$23,0)+IF(I$28&gt;=22,I$27*I$26/I$28,0)+I$31</f>
        <v>4.5</v>
      </c>
      <c r="J72" s="254">
        <f t="shared" si="32"/>
        <v>7.5</v>
      </c>
      <c r="K72" s="254">
        <f t="shared" si="32"/>
        <v>3.3</v>
      </c>
      <c r="L72" s="254">
        <f>IF(L$8&gt;=22,L$7*L$6/L$8,0)+IF(L$13&gt;=22,L$12*L$11/L$13,0)+IF(L$18&gt;=22,L$17*L$16/L$18,0)+IF(L$23&gt;=22,L$22*L$21/L$23,0)+IF(L$28&gt;=22,L$27*L$26/L$28,0)+L$31</f>
        <v>3.3</v>
      </c>
      <c r="M72" s="254">
        <f t="shared" si="32"/>
        <v>0</v>
      </c>
      <c r="N72" s="254">
        <f t="shared" si="32"/>
        <v>0</v>
      </c>
      <c r="O72" s="254">
        <f t="shared" si="32"/>
        <v>0</v>
      </c>
      <c r="P72" s="254">
        <f t="shared" si="32"/>
        <v>0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t="13" hidden="1" x14ac:dyDescent="0.3">
      <c r="B73" s="511"/>
      <c r="C73" s="281" t="s">
        <v>84</v>
      </c>
      <c r="D73" s="282">
        <f t="shared" si="10"/>
        <v>37.349999999999994</v>
      </c>
      <c r="E73" s="254">
        <f t="shared" ref="E73:X73" si="33">IF(E$8&gt;=23,E$7*E$6/E$8,0)+IF(E$13&gt;=23,E$12*E$11/E$13,0)+IF(E$18&gt;=23,E$17*E$16/E$18,0)+IF(E$23&gt;=23,E$22*E$21/E$23,0)+IF(E$28&gt;=23,E$27*E$26/E$28,0)+E$31</f>
        <v>7.5</v>
      </c>
      <c r="F73" s="254">
        <f t="shared" si="33"/>
        <v>2.25</v>
      </c>
      <c r="G73" s="254">
        <f t="shared" si="33"/>
        <v>4.5</v>
      </c>
      <c r="H73" s="254">
        <f t="shared" si="33"/>
        <v>4.5</v>
      </c>
      <c r="I73" s="254">
        <f>IF(I$8&gt;=23,I$7*I$6/I$8,0)+IF(I$13&gt;=23,I$12*I$11/I$13,0)+IF(I$18&gt;=23,I$17*I$16/I$18,0)+IF(I$23&gt;=23,I$22*I$21/I$23,0)+IF(I$28&gt;=23,I$27*I$26/I$28,0)+I$31</f>
        <v>4.5</v>
      </c>
      <c r="J73" s="254">
        <f t="shared" si="33"/>
        <v>7.5</v>
      </c>
      <c r="K73" s="254">
        <f t="shared" si="33"/>
        <v>3.3</v>
      </c>
      <c r="L73" s="254">
        <f>IF(L$8&gt;=23,L$7*L$6/L$8,0)+IF(L$13&gt;=23,L$12*L$11/L$13,0)+IF(L$18&gt;=23,L$17*L$16/L$18,0)+IF(L$23&gt;=23,L$22*L$21/L$23,0)+IF(L$28&gt;=23,L$27*L$26/L$28,0)+L$31</f>
        <v>3.3</v>
      </c>
      <c r="M73" s="254">
        <f t="shared" si="33"/>
        <v>0</v>
      </c>
      <c r="N73" s="254">
        <f t="shared" si="33"/>
        <v>0</v>
      </c>
      <c r="O73" s="254">
        <f t="shared" si="33"/>
        <v>0</v>
      </c>
      <c r="P73" s="254">
        <f t="shared" si="33"/>
        <v>0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t="13" hidden="1" x14ac:dyDescent="0.3">
      <c r="B74" s="511"/>
      <c r="C74" s="281" t="s">
        <v>85</v>
      </c>
      <c r="D74" s="282">
        <f t="shared" si="10"/>
        <v>37.349999999999994</v>
      </c>
      <c r="E74" s="254">
        <f t="shared" ref="E74:X74" si="34">IF(E$8&gt;=24,E$7*E$6/E$8,0)+IF(E$13&gt;=24,E$12*E$11/E$13,0)+IF(E$18&gt;=24,E$17*E$16/E$18,0)+IF(E$23&gt;=24,E$22*E$21/E$23,0)+IF(E$28&gt;=24,E$27*E$26/E$28,0)+E$31</f>
        <v>7.5</v>
      </c>
      <c r="F74" s="254">
        <f t="shared" si="34"/>
        <v>2.25</v>
      </c>
      <c r="G74" s="254">
        <f t="shared" si="34"/>
        <v>4.5</v>
      </c>
      <c r="H74" s="254">
        <f t="shared" si="34"/>
        <v>4.5</v>
      </c>
      <c r="I74" s="254">
        <f>IF(I$8&gt;=24,I$7*I$6/I$8,0)+IF(I$13&gt;=24,I$12*I$11/I$13,0)+IF(I$18&gt;=24,I$17*I$16/I$18,0)+IF(I$23&gt;=24,I$22*I$21/I$23,0)+IF(I$28&gt;=24,I$27*I$26/I$28,0)+I$31</f>
        <v>4.5</v>
      </c>
      <c r="J74" s="254">
        <f t="shared" si="34"/>
        <v>7.5</v>
      </c>
      <c r="K74" s="254">
        <f t="shared" si="34"/>
        <v>3.3</v>
      </c>
      <c r="L74" s="254">
        <f>IF(L$8&gt;=24,L$7*L$6/L$8,0)+IF(L$13&gt;=24,L$12*L$11/L$13,0)+IF(L$18&gt;=24,L$17*L$16/L$18,0)+IF(L$23&gt;=24,L$22*L$21/L$23,0)+IF(L$28&gt;=24,L$27*L$26/L$28,0)+L$31</f>
        <v>3.3</v>
      </c>
      <c r="M74" s="254">
        <f t="shared" si="34"/>
        <v>0</v>
      </c>
      <c r="N74" s="254">
        <f t="shared" si="34"/>
        <v>0</v>
      </c>
      <c r="O74" s="254">
        <f t="shared" si="34"/>
        <v>0</v>
      </c>
      <c r="P74" s="254">
        <f t="shared" si="34"/>
        <v>0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t="13" hidden="1" x14ac:dyDescent="0.3">
      <c r="B75" s="511"/>
      <c r="C75" s="281" t="s">
        <v>86</v>
      </c>
      <c r="D75" s="282">
        <f t="shared" si="10"/>
        <v>37.349999999999994</v>
      </c>
      <c r="E75" s="254">
        <f t="shared" ref="E75:X75" si="35">IF(E$8&gt;=25,E$7*E$6/E$8,0)+IF(E$13&gt;=25,E$12*E$11/E$13,0)+IF(E$18&gt;=25,E$17*E$16/E$18,0)+IF(E$23&gt;=25,E$22*E$21/E$23,0)+IF(E$28&gt;=25,E$27*E$26/E$28,0)+E$31</f>
        <v>7.5</v>
      </c>
      <c r="F75" s="254">
        <f t="shared" si="35"/>
        <v>2.25</v>
      </c>
      <c r="G75" s="254">
        <f t="shared" si="35"/>
        <v>4.5</v>
      </c>
      <c r="H75" s="254">
        <f t="shared" si="35"/>
        <v>4.5</v>
      </c>
      <c r="I75" s="254">
        <f>IF(I$8&gt;=25,I$7*I$6/I$8,0)+IF(I$13&gt;=25,I$12*I$11/I$13,0)+IF(I$18&gt;=25,I$17*I$16/I$18,0)+IF(I$23&gt;=25,I$22*I$21/I$23,0)+IF(I$28&gt;=25,I$27*I$26/I$28,0)+I$31</f>
        <v>4.5</v>
      </c>
      <c r="J75" s="254">
        <f t="shared" si="35"/>
        <v>7.5</v>
      </c>
      <c r="K75" s="254">
        <f t="shared" si="35"/>
        <v>3.3</v>
      </c>
      <c r="L75" s="254">
        <f>IF(L$8&gt;=25,L$7*L$6/L$8,0)+IF(L$13&gt;=25,L$12*L$11/L$13,0)+IF(L$18&gt;=25,L$17*L$16/L$18,0)+IF(L$23&gt;=25,L$22*L$21/L$23,0)+IF(L$28&gt;=25,L$27*L$26/L$28,0)+L$31</f>
        <v>3.3</v>
      </c>
      <c r="M75" s="254">
        <f t="shared" si="35"/>
        <v>0</v>
      </c>
      <c r="N75" s="254">
        <f t="shared" si="35"/>
        <v>0</v>
      </c>
      <c r="O75" s="254">
        <f t="shared" si="35"/>
        <v>0</v>
      </c>
      <c r="P75" s="254">
        <f t="shared" si="35"/>
        <v>0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t="13" hidden="1" x14ac:dyDescent="0.3">
      <c r="B76" s="511"/>
      <c r="C76" s="281" t="s">
        <v>87</v>
      </c>
      <c r="D76" s="282">
        <f t="shared" si="10"/>
        <v>37.349999999999994</v>
      </c>
      <c r="E76" s="254">
        <f t="shared" ref="E76:X76" si="36">IF(E$8&gt;=26,E$7*E$6/E$8,0)+IF(E$13&gt;=26,E$12*E$11/E$13,0)+IF(E$18&gt;=26,E$17*E$16/E$18,0)+IF(E$23&gt;=26,E$22*E$21/E$23,0)+IF(E$28&gt;=26,E$27*E$26/E$28,0)+E$31</f>
        <v>7.5</v>
      </c>
      <c r="F76" s="254">
        <f t="shared" si="36"/>
        <v>2.25</v>
      </c>
      <c r="G76" s="254">
        <f t="shared" si="36"/>
        <v>4.5</v>
      </c>
      <c r="H76" s="254">
        <f t="shared" si="36"/>
        <v>4.5</v>
      </c>
      <c r="I76" s="254">
        <f>IF(I$8&gt;=26,I$7*I$6/I$8,0)+IF(I$13&gt;=26,I$12*I$11/I$13,0)+IF(I$18&gt;=26,I$17*I$16/I$18,0)+IF(I$23&gt;=26,I$22*I$21/I$23,0)+IF(I$28&gt;=26,I$27*I$26/I$28,0)+I$31</f>
        <v>4.5</v>
      </c>
      <c r="J76" s="254">
        <f t="shared" si="36"/>
        <v>7.5</v>
      </c>
      <c r="K76" s="254">
        <f t="shared" si="36"/>
        <v>3.3</v>
      </c>
      <c r="L76" s="254">
        <f>IF(L$8&gt;=26,L$7*L$6/L$8,0)+IF(L$13&gt;=26,L$12*L$11/L$13,0)+IF(L$18&gt;=26,L$17*L$16/L$18,0)+IF(L$23&gt;=26,L$22*L$21/L$23,0)+IF(L$28&gt;=26,L$27*L$26/L$28,0)+L$31</f>
        <v>3.3</v>
      </c>
      <c r="M76" s="254">
        <f t="shared" si="36"/>
        <v>0</v>
      </c>
      <c r="N76" s="254">
        <f t="shared" si="36"/>
        <v>0</v>
      </c>
      <c r="O76" s="254">
        <f t="shared" si="36"/>
        <v>0</v>
      </c>
      <c r="P76" s="254">
        <f t="shared" si="36"/>
        <v>0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t="13" hidden="1" x14ac:dyDescent="0.3">
      <c r="B77" s="511"/>
      <c r="C77" s="281" t="s">
        <v>88</v>
      </c>
      <c r="D77" s="282">
        <f t="shared" si="10"/>
        <v>37.349999999999994</v>
      </c>
      <c r="E77" s="254">
        <f t="shared" ref="E77:X77" si="37">IF(E$8&gt;=27,E$7*E$6/E$8,0)+IF(E$13&gt;=27,E$12*E$11/E$13,0)+IF(E$18&gt;=27,E$17*E$16/E$18,0)+IF(E$23&gt;=27,E$22*E$21/E$23,0)+IF(E$28&gt;=27,E$27*E$26/E$28,0)+E$31</f>
        <v>7.5</v>
      </c>
      <c r="F77" s="254">
        <f t="shared" si="37"/>
        <v>2.25</v>
      </c>
      <c r="G77" s="254">
        <f t="shared" si="37"/>
        <v>4.5</v>
      </c>
      <c r="H77" s="254">
        <f t="shared" si="37"/>
        <v>4.5</v>
      </c>
      <c r="I77" s="254">
        <f>IF(I$8&gt;=27,I$7*I$6/I$8,0)+IF(I$13&gt;=27,I$12*I$11/I$13,0)+IF(I$18&gt;=27,I$17*I$16/I$18,0)+IF(I$23&gt;=27,I$22*I$21/I$23,0)+IF(I$28&gt;=27,I$27*I$26/I$28,0)+I$31</f>
        <v>4.5</v>
      </c>
      <c r="J77" s="254">
        <f t="shared" si="37"/>
        <v>7.5</v>
      </c>
      <c r="K77" s="254">
        <f t="shared" si="37"/>
        <v>3.3</v>
      </c>
      <c r="L77" s="254">
        <f>IF(L$8&gt;=27,L$7*L$6/L$8,0)+IF(L$13&gt;=27,L$12*L$11/L$13,0)+IF(L$18&gt;=27,L$17*L$16/L$18,0)+IF(L$23&gt;=27,L$22*L$21/L$23,0)+IF(L$28&gt;=27,L$27*L$26/L$28,0)+L$31</f>
        <v>3.3</v>
      </c>
      <c r="M77" s="254">
        <f t="shared" si="37"/>
        <v>0</v>
      </c>
      <c r="N77" s="254">
        <f t="shared" si="37"/>
        <v>0</v>
      </c>
      <c r="O77" s="254">
        <f t="shared" si="37"/>
        <v>0</v>
      </c>
      <c r="P77" s="254">
        <f t="shared" si="37"/>
        <v>0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t="13" hidden="1" x14ac:dyDescent="0.3">
      <c r="B78" s="511"/>
      <c r="C78" s="281" t="s">
        <v>89</v>
      </c>
      <c r="D78" s="282">
        <f t="shared" si="10"/>
        <v>37.349999999999994</v>
      </c>
      <c r="E78" s="254">
        <f t="shared" ref="E78:X78" si="38">IF(E$8&gt;=28,E$7*E$6/E$8,0)+IF(E$13&gt;=28,E$12*E$11/E$13,0)+IF(E$18&gt;=28,E$17*E$16/E$18,0)+IF(E$23&gt;=28,E$22*E$21/E$23,0)+IF(E$28&gt;=28,E$27*E$26/E$28,0)+E$31</f>
        <v>7.5</v>
      </c>
      <c r="F78" s="254">
        <f t="shared" si="38"/>
        <v>2.25</v>
      </c>
      <c r="G78" s="254">
        <f t="shared" si="38"/>
        <v>4.5</v>
      </c>
      <c r="H78" s="254">
        <f t="shared" si="38"/>
        <v>4.5</v>
      </c>
      <c r="I78" s="254">
        <f>IF(I$8&gt;=28,I$7*I$6/I$8,0)+IF(I$13&gt;=28,I$12*I$11/I$13,0)+IF(I$18&gt;=28,I$17*I$16/I$18,0)+IF(I$23&gt;=28,I$22*I$21/I$23,0)+IF(I$28&gt;=28,I$27*I$26/I$28,0)+I$31</f>
        <v>4.5</v>
      </c>
      <c r="J78" s="254">
        <f t="shared" si="38"/>
        <v>7.5</v>
      </c>
      <c r="K78" s="254">
        <f t="shared" si="38"/>
        <v>3.3</v>
      </c>
      <c r="L78" s="254">
        <f>IF(L$8&gt;=28,L$7*L$6/L$8,0)+IF(L$13&gt;=28,L$12*L$11/L$13,0)+IF(L$18&gt;=28,L$17*L$16/L$18,0)+IF(L$23&gt;=28,L$22*L$21/L$23,0)+IF(L$28&gt;=28,L$27*L$26/L$28,0)+L$31</f>
        <v>3.3</v>
      </c>
      <c r="M78" s="254">
        <f t="shared" si="38"/>
        <v>0</v>
      </c>
      <c r="N78" s="254">
        <f t="shared" si="38"/>
        <v>0</v>
      </c>
      <c r="O78" s="254">
        <f t="shared" si="38"/>
        <v>0</v>
      </c>
      <c r="P78" s="254">
        <f t="shared" si="38"/>
        <v>0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t="13" hidden="1" x14ac:dyDescent="0.3">
      <c r="B79" s="511"/>
      <c r="C79" s="281" t="s">
        <v>90</v>
      </c>
      <c r="D79" s="282">
        <f t="shared" si="10"/>
        <v>37.349999999999994</v>
      </c>
      <c r="E79" s="254">
        <f t="shared" ref="E79:X79" si="39">IF(E$8&gt;=29,E$7*E$6/E$8,0)+IF(E$13&gt;=29,E$12*E$11/E$13,0)+IF(E$18&gt;=29,E$17*E$16/E$18,0)+IF(E$23&gt;=29,E$22*E$21/E$23,0)+IF(E$28&gt;=29,E$27*E$26/E$28,0)+E$31</f>
        <v>7.5</v>
      </c>
      <c r="F79" s="254">
        <f t="shared" si="39"/>
        <v>2.25</v>
      </c>
      <c r="G79" s="254">
        <f t="shared" si="39"/>
        <v>4.5</v>
      </c>
      <c r="H79" s="254">
        <f t="shared" si="39"/>
        <v>4.5</v>
      </c>
      <c r="I79" s="254">
        <f>IF(I$8&gt;=29,I$7*I$6/I$8,0)+IF(I$13&gt;=29,I$12*I$11/I$13,0)+IF(I$18&gt;=29,I$17*I$16/I$18,0)+IF(I$23&gt;=29,I$22*I$21/I$23,0)+IF(I$28&gt;=29,I$27*I$26/I$28,0)+I$31</f>
        <v>4.5</v>
      </c>
      <c r="J79" s="254">
        <f t="shared" si="39"/>
        <v>7.5</v>
      </c>
      <c r="K79" s="254">
        <f t="shared" si="39"/>
        <v>3.3</v>
      </c>
      <c r="L79" s="254">
        <f>IF(L$8&gt;=29,L$7*L$6/L$8,0)+IF(L$13&gt;=29,L$12*L$11/L$13,0)+IF(L$18&gt;=29,L$17*L$16/L$18,0)+IF(L$23&gt;=29,L$22*L$21/L$23,0)+IF(L$28&gt;=29,L$27*L$26/L$28,0)+L$31</f>
        <v>3.3</v>
      </c>
      <c r="M79" s="254">
        <f t="shared" si="39"/>
        <v>0</v>
      </c>
      <c r="N79" s="254">
        <f t="shared" si="39"/>
        <v>0</v>
      </c>
      <c r="O79" s="254">
        <f t="shared" si="39"/>
        <v>0</v>
      </c>
      <c r="P79" s="254">
        <f t="shared" si="39"/>
        <v>0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35">
      <c r="B80" s="512"/>
      <c r="C80" s="283" t="s">
        <v>91</v>
      </c>
      <c r="D80" s="284">
        <f t="shared" si="10"/>
        <v>37.349999999999994</v>
      </c>
      <c r="E80" s="285">
        <f t="shared" ref="E80:X80" si="40">IF(E$8&gt;=30,E$7*E$6/E$8,0)+IF(E$13&gt;=30,E$12*E$11/E$13,0)+IF(E$18&gt;=30,E$17*E$16/E$18,0)+IF(E$23&gt;=30,E$22*E$21/E$23,0)+IF(E$28&gt;=30,E$27*E$26/E$28,0)+E$31</f>
        <v>7.5</v>
      </c>
      <c r="F80" s="285">
        <f t="shared" si="40"/>
        <v>2.25</v>
      </c>
      <c r="G80" s="285">
        <f t="shared" si="40"/>
        <v>4.5</v>
      </c>
      <c r="H80" s="285">
        <f t="shared" si="40"/>
        <v>4.5</v>
      </c>
      <c r="I80" s="285">
        <f>IF(I$8&gt;=30,I$7*I$6/I$8,0)+IF(I$13&gt;=30,I$12*I$11/I$13,0)+IF(I$18&gt;=30,I$17*I$16/I$18,0)+IF(I$23&gt;=30,I$22*I$21/I$23,0)+IF(I$28&gt;=30,I$27*I$26/I$28,0)+I$31</f>
        <v>4.5</v>
      </c>
      <c r="J80" s="285">
        <f t="shared" si="40"/>
        <v>7.5</v>
      </c>
      <c r="K80" s="285">
        <f t="shared" si="40"/>
        <v>3.3</v>
      </c>
      <c r="L80" s="285">
        <f>IF(L$8&gt;=30,L$7*L$6/L$8,0)+IF(L$13&gt;=30,L$12*L$11/L$13,0)+IF(L$18&gt;=30,L$17*L$16/L$18,0)+IF(L$23&gt;=30,L$22*L$21/L$23,0)+IF(L$28&gt;=30,L$27*L$26/L$28,0)+L$31</f>
        <v>3.3</v>
      </c>
      <c r="M80" s="285">
        <f t="shared" si="40"/>
        <v>0</v>
      </c>
      <c r="N80" s="285">
        <f t="shared" si="40"/>
        <v>0</v>
      </c>
      <c r="O80" s="285">
        <f t="shared" si="40"/>
        <v>0</v>
      </c>
      <c r="P80" s="285">
        <f t="shared" si="40"/>
        <v>0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ht="13" x14ac:dyDescent="0.3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52"/>
  <sheetViews>
    <sheetView showGridLines="0" zoomScaleNormal="100" workbookViewId="0"/>
  </sheetViews>
  <sheetFormatPr defaultColWidth="9.1796875" defaultRowHeight="12.5" x14ac:dyDescent="0.25"/>
  <cols>
    <col min="1" max="1" width="2.81640625" style="2" customWidth="1"/>
    <col min="2" max="2" width="20.54296875" style="2" customWidth="1"/>
    <col min="3" max="3" width="13.54296875" style="2" customWidth="1"/>
    <col min="4" max="4" width="10.54296875" style="3" customWidth="1"/>
    <col min="5" max="24" width="11.7265625" style="2" customWidth="1"/>
    <col min="25" max="16384" width="9.1796875" style="2"/>
  </cols>
  <sheetData>
    <row r="2" spans="2:27" ht="13.5" thickBot="1" x14ac:dyDescent="0.35">
      <c r="B2" s="1" t="s">
        <v>277</v>
      </c>
    </row>
    <row r="3" spans="2:27" ht="13" x14ac:dyDescent="0.3">
      <c r="B3" s="228" t="s">
        <v>138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ht="13" x14ac:dyDescent="0.3">
      <c r="B4" s="231" t="s">
        <v>53</v>
      </c>
      <c r="C4" s="232"/>
      <c r="D4" s="108"/>
      <c r="E4" s="302" t="str">
        <f>IF('Pořízení a provozuschopnost ŽKV'!E4&lt;&gt;"",'Pořízení a provozuschopnost ŽKV'!E4,"---")</f>
        <v>S4 Praha - Kralupy</v>
      </c>
      <c r="F4" s="302" t="str">
        <f>IF('Pořízení a provozuschopnost ŽKV'!F4&lt;&gt;"",'Pořízení a provozuschopnost ŽKV'!F4,"---")</f>
        <v>S40 Slaný - Kralupy</v>
      </c>
      <c r="G4" s="302" t="str">
        <f>IF('Pořízení a provozuschopnost ŽKV'!G4&lt;&gt;"",'Pořízení a provozuschopnost ŽKV'!G4,"---")</f>
        <v>R44b Slaný - Praha</v>
      </c>
      <c r="H4" s="302" t="str">
        <f>IF('Pořízení a provozuschopnost ŽKV'!H4&lt;&gt;"",'Pořízení a provozuschopnost ŽKV'!H4,"---")</f>
        <v>S43 Kladno - Ml. Boleslav</v>
      </c>
      <c r="I4" s="302" t="str">
        <f>IF('Pořízení a provozuschopnost ŽKV'!I4&lt;&gt;"",'Pořízení a provozuschopnost ŽKV'!I4,"---")</f>
        <v>R44c Velvary - Praha</v>
      </c>
      <c r="J4" s="302" t="str">
        <f>IF('Pořízení a provozuschopnost ŽKV'!J4&lt;&gt;"",'Pořízení a provozuschopnost ŽKV'!J4,"---")</f>
        <v>R44a Praha - Roudnice</v>
      </c>
      <c r="K4" s="302" t="str">
        <f>IF('Pořízení a provozuschopnost ŽKV'!K4&lt;&gt;"",'Pořízení a provozuschopnost ŽKV'!K4,"---")</f>
        <v>Neratovice E</v>
      </c>
      <c r="L4" s="302" t="str">
        <f>IF('Pořízení a provozuschopnost ŽKV'!L4&lt;&gt;"",'Pořízení a provozuschopnost ŽKV'!L4,"---")</f>
        <v>Nex LB-PB</v>
      </c>
      <c r="M4" s="302" t="str">
        <f>IF('Pořízení a provozuschopnost ŽKV'!M4&lt;&gt;"",'Pořízení a provozuschopnost ŽKV'!M4,"---")</f>
        <v>---</v>
      </c>
      <c r="N4" s="302" t="str">
        <f>IF('Pořízení a provozuschopnost ŽKV'!N4&lt;&gt;"",'Pořízení a provozuschopnost ŽKV'!N4,"---")</f>
        <v>---</v>
      </c>
      <c r="O4" s="302" t="str">
        <f>IF('Pořízení a provozuschopnost ŽKV'!O4&lt;&gt;"",'Pořízení a provozuschopnost ŽKV'!O4,"---")</f>
        <v>---</v>
      </c>
      <c r="P4" s="302" t="str">
        <f>IF('Pořízení a provozuschopnost ŽKV'!P4&lt;&gt;"",'Pořízení a provozuschopnost ŽKV'!P4,"---")</f>
        <v>---</v>
      </c>
      <c r="Q4" s="302" t="str">
        <f>IF('Pořízení a provozuschopnost ŽKV'!Q4&lt;&gt;"",'Pořízení a provozuschopnost ŽKV'!Q4,"---")</f>
        <v>---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5">
      <c r="B5" s="14" t="s">
        <v>3</v>
      </c>
      <c r="C5" s="15"/>
      <c r="D5" s="304"/>
      <c r="E5" s="361" t="s">
        <v>139</v>
      </c>
      <c r="F5" s="361" t="s">
        <v>139</v>
      </c>
      <c r="G5" s="361" t="s">
        <v>139</v>
      </c>
      <c r="H5" s="361" t="s">
        <v>139</v>
      </c>
      <c r="I5" s="361" t="s">
        <v>139</v>
      </c>
      <c r="J5" s="361" t="s">
        <v>139</v>
      </c>
      <c r="K5" s="461" t="s">
        <v>140</v>
      </c>
      <c r="L5" s="461" t="s">
        <v>140</v>
      </c>
      <c r="M5" s="4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2"/>
    </row>
    <row r="6" spans="2:27" x14ac:dyDescent="0.25">
      <c r="B6" s="19" t="s">
        <v>10</v>
      </c>
      <c r="C6" s="20"/>
      <c r="D6" s="304"/>
      <c r="E6" s="361" t="s">
        <v>381</v>
      </c>
      <c r="F6" s="361" t="s">
        <v>141</v>
      </c>
      <c r="G6" s="361" t="s">
        <v>381</v>
      </c>
      <c r="H6" s="361" t="s">
        <v>381</v>
      </c>
      <c r="I6" s="361" t="s">
        <v>381</v>
      </c>
      <c r="J6" s="361" t="s">
        <v>381</v>
      </c>
      <c r="K6" s="461" t="s">
        <v>382</v>
      </c>
      <c r="L6" s="461" t="s">
        <v>382</v>
      </c>
      <c r="M6" s="4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2"/>
    </row>
    <row r="7" spans="2:27" x14ac:dyDescent="0.25">
      <c r="B7" s="14" t="s">
        <v>310</v>
      </c>
      <c r="C7" s="20"/>
      <c r="D7" s="304"/>
      <c r="E7" s="361" t="s">
        <v>311</v>
      </c>
      <c r="F7" s="361" t="s">
        <v>312</v>
      </c>
      <c r="G7" s="361" t="s">
        <v>311</v>
      </c>
      <c r="H7" s="361" t="s">
        <v>311</v>
      </c>
      <c r="I7" s="361" t="s">
        <v>311</v>
      </c>
      <c r="J7" s="361" t="s">
        <v>311</v>
      </c>
      <c r="K7" s="461" t="s">
        <v>311</v>
      </c>
      <c r="L7" s="461" t="s">
        <v>311</v>
      </c>
      <c r="M7" s="4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2"/>
    </row>
    <row r="8" spans="2:27" ht="13" thickBot="1" x14ac:dyDescent="0.3">
      <c r="B8" s="305" t="s">
        <v>11</v>
      </c>
      <c r="C8" s="27"/>
      <c r="D8" s="306" t="s">
        <v>13</v>
      </c>
      <c r="E8" s="363">
        <v>237</v>
      </c>
      <c r="F8" s="363">
        <v>48.5</v>
      </c>
      <c r="G8" s="363">
        <v>106</v>
      </c>
      <c r="H8" s="363">
        <v>106</v>
      </c>
      <c r="I8" s="363">
        <v>106</v>
      </c>
      <c r="J8" s="363">
        <v>237</v>
      </c>
      <c r="K8" s="462">
        <v>1000</v>
      </c>
      <c r="L8" s="462">
        <v>1600</v>
      </c>
      <c r="M8" s="462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4"/>
    </row>
    <row r="9" spans="2:27" x14ac:dyDescent="0.25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35">
      <c r="B10" s="1" t="s">
        <v>386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5">
      <c r="B11" s="234" t="s">
        <v>297</v>
      </c>
      <c r="C11" s="308"/>
      <c r="D11" s="309" t="s">
        <v>155</v>
      </c>
      <c r="E11" s="365">
        <v>21.5</v>
      </c>
      <c r="F11" s="366">
        <v>21.5</v>
      </c>
      <c r="G11" s="366">
        <v>21.5</v>
      </c>
      <c r="H11" s="366">
        <v>21.5</v>
      </c>
      <c r="I11" s="366">
        <v>21.5</v>
      </c>
      <c r="J11" s="366">
        <v>21.5</v>
      </c>
      <c r="K11" s="463">
        <v>21.5</v>
      </c>
      <c r="L11" s="463">
        <v>21.5</v>
      </c>
      <c r="M11" s="463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5">
      <c r="B12" s="14" t="s">
        <v>366</v>
      </c>
      <c r="C12" s="15" t="s">
        <v>355</v>
      </c>
      <c r="D12" s="310" t="s">
        <v>14</v>
      </c>
      <c r="E12" s="368"/>
      <c r="F12" s="368"/>
      <c r="G12" s="368"/>
      <c r="H12" s="368"/>
      <c r="I12" s="368"/>
      <c r="J12" s="368"/>
      <c r="K12" s="464"/>
      <c r="L12" s="464"/>
      <c r="M12" s="464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5">
      <c r="B13" s="19"/>
      <c r="C13" s="15" t="s">
        <v>356</v>
      </c>
      <c r="D13" s="310" t="s">
        <v>14</v>
      </c>
      <c r="E13" s="370">
        <v>27</v>
      </c>
      <c r="F13" s="368"/>
      <c r="G13" s="368">
        <v>27</v>
      </c>
      <c r="H13" s="368"/>
      <c r="I13" s="368">
        <v>12</v>
      </c>
      <c r="J13" s="368">
        <v>66</v>
      </c>
      <c r="K13" s="464">
        <v>1</v>
      </c>
      <c r="L13" s="464">
        <v>1</v>
      </c>
      <c r="M13" s="464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5">
      <c r="B14" s="14"/>
      <c r="C14" s="15" t="s">
        <v>357</v>
      </c>
      <c r="D14" s="310" t="s">
        <v>14</v>
      </c>
      <c r="E14" s="370"/>
      <c r="F14" s="368"/>
      <c r="G14" s="368"/>
      <c r="H14" s="368"/>
      <c r="I14" s="368"/>
      <c r="J14" s="368"/>
      <c r="K14" s="464"/>
      <c r="L14" s="464"/>
      <c r="M14" s="464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5">
      <c r="B15" s="14"/>
      <c r="C15" s="15" t="s">
        <v>358</v>
      </c>
      <c r="D15" s="310" t="s">
        <v>14</v>
      </c>
      <c r="E15" s="370"/>
      <c r="F15" s="368"/>
      <c r="G15" s="368"/>
      <c r="H15" s="368">
        <v>63</v>
      </c>
      <c r="I15" s="368"/>
      <c r="J15" s="368"/>
      <c r="K15" s="464"/>
      <c r="L15" s="464"/>
      <c r="M15" s="464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5">
      <c r="B16" s="81"/>
      <c r="C16" s="233" t="s">
        <v>359</v>
      </c>
      <c r="D16" s="311" t="s">
        <v>14</v>
      </c>
      <c r="E16" s="371"/>
      <c r="F16" s="372">
        <v>20</v>
      </c>
      <c r="G16" s="372">
        <v>20</v>
      </c>
      <c r="H16" s="372">
        <v>17</v>
      </c>
      <c r="I16" s="372">
        <v>10</v>
      </c>
      <c r="J16" s="372"/>
      <c r="K16" s="465"/>
      <c r="L16" s="465"/>
      <c r="M16" s="465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ht="13" x14ac:dyDescent="0.3">
      <c r="B17" s="14" t="s">
        <v>363</v>
      </c>
      <c r="C17" s="15"/>
      <c r="D17" s="312" t="s">
        <v>360</v>
      </c>
      <c r="E17" s="374">
        <v>1</v>
      </c>
      <c r="F17" s="374">
        <v>1</v>
      </c>
      <c r="G17" s="375">
        <v>1</v>
      </c>
      <c r="H17" s="375">
        <v>1</v>
      </c>
      <c r="I17" s="375">
        <v>1</v>
      </c>
      <c r="J17" s="375">
        <v>1</v>
      </c>
      <c r="K17" s="466">
        <v>1</v>
      </c>
      <c r="L17" s="466">
        <v>1</v>
      </c>
      <c r="M17" s="466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ht="13" x14ac:dyDescent="0.3">
      <c r="B18" s="14" t="s">
        <v>361</v>
      </c>
      <c r="C18" s="15"/>
      <c r="D18" s="312" t="s">
        <v>364</v>
      </c>
      <c r="E18" s="374">
        <v>0.76</v>
      </c>
      <c r="F18" s="374">
        <v>0.42</v>
      </c>
      <c r="G18" s="374">
        <v>0.59</v>
      </c>
      <c r="H18" s="374">
        <v>0.59</v>
      </c>
      <c r="I18" s="374">
        <v>0.59</v>
      </c>
      <c r="J18" s="374">
        <v>0.76</v>
      </c>
      <c r="K18" s="466">
        <v>2.77</v>
      </c>
      <c r="L18" s="466">
        <v>4.8899999999999997</v>
      </c>
      <c r="M18" s="466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ht="13" x14ac:dyDescent="0.3">
      <c r="B19" s="81" t="s">
        <v>362</v>
      </c>
      <c r="C19" s="233"/>
      <c r="D19" s="313" t="s">
        <v>365</v>
      </c>
      <c r="E19" s="377">
        <v>1</v>
      </c>
      <c r="F19" s="378">
        <v>1</v>
      </c>
      <c r="G19" s="378">
        <v>1</v>
      </c>
      <c r="H19" s="378">
        <v>1</v>
      </c>
      <c r="I19" s="378">
        <v>1</v>
      </c>
      <c r="J19" s="378">
        <v>1</v>
      </c>
      <c r="K19" s="467">
        <v>1</v>
      </c>
      <c r="L19" s="467">
        <v>1</v>
      </c>
      <c r="M19" s="467"/>
      <c r="N19" s="378"/>
      <c r="O19" s="378"/>
      <c r="P19" s="378"/>
      <c r="Q19" s="378"/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5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494.1216</v>
      </c>
      <c r="F20" s="316">
        <f t="shared" si="0"/>
        <v>128.22599999999997</v>
      </c>
      <c r="G20" s="316">
        <f t="shared" si="0"/>
        <v>563.7213999999999</v>
      </c>
      <c r="H20" s="316">
        <f t="shared" si="0"/>
        <v>856.36434999999983</v>
      </c>
      <c r="I20" s="316">
        <f t="shared" si="0"/>
        <v>260.54989999999998</v>
      </c>
      <c r="J20" s="316">
        <f t="shared" si="0"/>
        <v>1207.8528000000001</v>
      </c>
      <c r="K20" s="316">
        <f t="shared" si="0"/>
        <v>66.701599999999999</v>
      </c>
      <c r="L20" s="316">
        <f t="shared" si="0"/>
        <v>117.7512</v>
      </c>
      <c r="M20" s="316" t="str">
        <f t="shared" ref="M20:X20" si="1">IF(((M11*M17*M18*M19)*((M12*$L$41)+(M13*$L$42)+(M14*$L$43)+(M15*$L$44)+(M16*$L$45)))&gt;0,(M11*M17*M18*M19)*((M12*$L$41)+(M13*$L$42)+(M14*$L$43)+(M15*$L$44)+(M16*$L$45)),"-")</f>
        <v>-</v>
      </c>
      <c r="N20" s="316" t="str">
        <f t="shared" si="1"/>
        <v>-</v>
      </c>
      <c r="O20" s="316" t="str">
        <f t="shared" si="1"/>
        <v>-</v>
      </c>
      <c r="P20" s="316" t="str">
        <f t="shared" si="1"/>
        <v>-</v>
      </c>
      <c r="Q20" s="316" t="str">
        <f t="shared" si="1"/>
        <v>-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" thickBot="1" x14ac:dyDescent="0.3">
      <c r="B21" s="240" t="s">
        <v>146</v>
      </c>
      <c r="C21" s="318"/>
      <c r="D21" s="319" t="s">
        <v>145</v>
      </c>
      <c r="E21" s="320">
        <f>IF((SUM(E12:E16)&gt;0),E20/SUM(E12:E16),"-")</f>
        <v>18.300799999999999</v>
      </c>
      <c r="F21" s="320">
        <f t="shared" ref="F21:P21" si="2">IF((SUM(F12:F16)&gt;0),F20/SUM(F12:F16),"-")</f>
        <v>6.4112999999999989</v>
      </c>
      <c r="G21" s="320">
        <f t="shared" si="2"/>
        <v>11.99407234042553</v>
      </c>
      <c r="H21" s="320">
        <f t="shared" si="2"/>
        <v>10.704554374999997</v>
      </c>
      <c r="I21" s="320">
        <f t="shared" si="2"/>
        <v>11.843177272727273</v>
      </c>
      <c r="J21" s="320">
        <f t="shared" si="2"/>
        <v>18.300800000000002</v>
      </c>
      <c r="K21" s="320">
        <f t="shared" si="2"/>
        <v>66.701599999999999</v>
      </c>
      <c r="L21" s="320">
        <f t="shared" si="2"/>
        <v>117.7512</v>
      </c>
      <c r="M21" s="320" t="str">
        <f t="shared" si="2"/>
        <v>-</v>
      </c>
      <c r="N21" s="320" t="str">
        <f t="shared" si="2"/>
        <v>-</v>
      </c>
      <c r="O21" s="320" t="str">
        <f t="shared" si="2"/>
        <v>-</v>
      </c>
      <c r="P21" s="320" t="str">
        <f t="shared" si="2"/>
        <v>-</v>
      </c>
      <c r="Q21" s="320" t="str">
        <f t="shared" ref="Q21:X21" si="3">IF((SUM(Q12:Q16)&gt;0),Q20/SUM(Q12:Q16),"-")</f>
        <v>-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5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35">
      <c r="B23" s="1" t="s">
        <v>278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5">
      <c r="B24" s="322" t="s">
        <v>134</v>
      </c>
      <c r="C24" s="323"/>
      <c r="D24" s="324"/>
      <c r="E24" s="380">
        <v>3</v>
      </c>
      <c r="F24" s="380">
        <v>3</v>
      </c>
      <c r="G24" s="380">
        <v>2</v>
      </c>
      <c r="H24" s="380">
        <v>3</v>
      </c>
      <c r="I24" s="380">
        <v>3</v>
      </c>
      <c r="J24" s="380">
        <v>2</v>
      </c>
      <c r="K24" s="468">
        <v>2</v>
      </c>
      <c r="L24" s="468">
        <v>1</v>
      </c>
      <c r="M24" s="468"/>
      <c r="N24" s="380"/>
      <c r="O24" s="380"/>
      <c r="P24" s="380"/>
      <c r="Q24" s="380"/>
      <c r="R24" s="380"/>
      <c r="S24" s="380"/>
      <c r="T24" s="380"/>
      <c r="U24" s="380"/>
      <c r="V24" s="380"/>
      <c r="W24" s="380"/>
      <c r="X24" s="381"/>
    </row>
    <row r="25" spans="2:27" x14ac:dyDescent="0.25">
      <c r="B25" s="314" t="s">
        <v>133</v>
      </c>
      <c r="C25" s="325"/>
      <c r="D25" s="326"/>
      <c r="E25" s="382">
        <v>2</v>
      </c>
      <c r="F25" s="382">
        <v>3</v>
      </c>
      <c r="G25" s="382">
        <v>3</v>
      </c>
      <c r="H25" s="382">
        <v>3</v>
      </c>
      <c r="I25" s="382">
        <v>3</v>
      </c>
      <c r="J25" s="382">
        <v>2</v>
      </c>
      <c r="K25" s="469">
        <v>2</v>
      </c>
      <c r="L25" s="469">
        <v>2</v>
      </c>
      <c r="M25" s="469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3"/>
    </row>
    <row r="26" spans="2:27" x14ac:dyDescent="0.25">
      <c r="B26" s="314" t="s">
        <v>238</v>
      </c>
      <c r="C26" s="325"/>
      <c r="D26" s="326"/>
      <c r="E26" s="384">
        <v>5</v>
      </c>
      <c r="F26" s="384">
        <v>3</v>
      </c>
      <c r="G26" s="384">
        <v>5</v>
      </c>
      <c r="H26" s="384">
        <v>4</v>
      </c>
      <c r="I26" s="384">
        <v>5</v>
      </c>
      <c r="J26" s="384">
        <v>5</v>
      </c>
      <c r="K26" s="386">
        <v>3</v>
      </c>
      <c r="L26" s="386">
        <v>3</v>
      </c>
      <c r="M26" s="386"/>
      <c r="N26" s="384"/>
      <c r="O26" s="384"/>
      <c r="P26" s="384"/>
      <c r="Q26" s="384"/>
      <c r="R26" s="384"/>
      <c r="S26" s="384"/>
      <c r="T26" s="384"/>
      <c r="U26" s="384"/>
      <c r="V26" s="384"/>
      <c r="W26" s="384"/>
      <c r="X26" s="385"/>
    </row>
    <row r="27" spans="2:27" x14ac:dyDescent="0.25">
      <c r="B27" s="14" t="s">
        <v>242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1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2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1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1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1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1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3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3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5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5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5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5">
      <c r="B28" s="14" t="s">
        <v>239</v>
      </c>
      <c r="C28" s="20"/>
      <c r="D28" s="304"/>
      <c r="E28" s="327">
        <f>VLOOKUP(E24,DATA!$J$21:$O$25,E27+1,FALSE)</f>
        <v>1.3</v>
      </c>
      <c r="F28" s="327">
        <f>VLOOKUP(F24,DATA!$J$21:$O$25,F27+1,FALSE)</f>
        <v>1.3</v>
      </c>
      <c r="G28" s="327">
        <f>VLOOKUP(G24,DATA!$J$21:$O$25,G27+1,FALSE)</f>
        <v>1.1000000000000001</v>
      </c>
      <c r="H28" s="327">
        <f>VLOOKUP(H24,DATA!$J$21:$O$25,H27+1,FALSE)</f>
        <v>1.3</v>
      </c>
      <c r="I28" s="327">
        <f>VLOOKUP(I24,DATA!$J$21:$O$25,I27+1,FALSE)</f>
        <v>1.3</v>
      </c>
      <c r="J28" s="327">
        <f>VLOOKUP(J24,DATA!$J$21:$O$25,J27+1,FALSE)</f>
        <v>1.1000000000000001</v>
      </c>
      <c r="K28" s="327">
        <f>VLOOKUP(K24,DATA!$J$21:$O$25,K27+1,FALSE)</f>
        <v>1.1000000000000001</v>
      </c>
      <c r="L28" s="327">
        <f>VLOOKUP(L24,DATA!$J$21:$O$25,L27+1,FALSE)</f>
        <v>1</v>
      </c>
      <c r="M28" s="327" t="e">
        <f>VLOOKUP(M24,DATA!$J$21:$O$25,M27+1,FALSE)</f>
        <v>#N/A</v>
      </c>
      <c r="N28" s="327" t="e">
        <f>VLOOKUP(N24,DATA!$J$21:$O$25,N27+1,FALSE)</f>
        <v>#N/A</v>
      </c>
      <c r="O28" s="327" t="e">
        <f>VLOOKUP(O24,DATA!$J$21:$O$25,O27+1,FALSE)</f>
        <v>#N/A</v>
      </c>
      <c r="P28" s="327" t="e">
        <f>VLOOKUP(P24,DATA!$J$21:$O$25,P27+1,FALSE)</f>
        <v>#N/A</v>
      </c>
      <c r="Q28" s="327" t="e">
        <f>VLOOKUP(Q24,DATA!$J$21:$O$25,Q27+1,FALSE)</f>
        <v>#N/A</v>
      </c>
      <c r="R28" s="327" t="e">
        <f>VLOOKUP(R24,DATA!$J$21:$O$25,R27+1,FALSE)</f>
        <v>#N/A</v>
      </c>
      <c r="S28" s="327" t="e">
        <f>VLOOKUP(S24,DATA!$J$21:$O$25,S27+1,FALSE)</f>
        <v>#N/A</v>
      </c>
      <c r="T28" s="327" t="e">
        <f>VLOOKUP(T24,DATA!$J$21:$O$25,T27+1,FALSE)</f>
        <v>#N/A</v>
      </c>
      <c r="U28" s="327" t="e">
        <f>VLOOKUP(U24,DATA!$J$21:$O$25,U27+1,FALSE)</f>
        <v>#N/A</v>
      </c>
      <c r="V28" s="327" t="e">
        <f>VLOOKUP(V24,DATA!$J$21:$O$25,V27+1,FALSE)</f>
        <v>#N/A</v>
      </c>
      <c r="W28" s="327" t="e">
        <f>VLOOKUP(W24,DATA!$J$21:$O$25,W27+1,FALSE)</f>
        <v>#N/A</v>
      </c>
      <c r="X28" s="328" t="e">
        <f>VLOOKUP(X24,DATA!$J$21:$O$25,X27+1,FALSE)</f>
        <v>#N/A</v>
      </c>
    </row>
    <row r="29" spans="2:27" x14ac:dyDescent="0.25">
      <c r="B29" s="14" t="s">
        <v>240</v>
      </c>
      <c r="C29" s="20"/>
      <c r="D29" s="304"/>
      <c r="E29" s="327">
        <f>VLOOKUP(E25,DATA!$J$26:$O$28,E27+1,FALSE)</f>
        <v>1</v>
      </c>
      <c r="F29" s="327">
        <f>VLOOKUP(F25,DATA!$J$26:$O$28,F27+1,FALSE)</f>
        <v>1.2</v>
      </c>
      <c r="G29" s="327">
        <f>VLOOKUP(G25,DATA!$J$26:$O$28,G27+1,FALSE)</f>
        <v>1.2</v>
      </c>
      <c r="H29" s="327">
        <f>VLOOKUP(H25,DATA!$J$26:$O$28,H27+1,FALSE)</f>
        <v>1.2</v>
      </c>
      <c r="I29" s="327">
        <f>VLOOKUP(I25,DATA!$J$26:$O$28,I27+1,FALSE)</f>
        <v>1.2</v>
      </c>
      <c r="J29" s="327">
        <f>VLOOKUP(J25,DATA!$J$26:$O$28,J27+1,FALSE)</f>
        <v>1</v>
      </c>
      <c r="K29" s="327">
        <f>VLOOKUP(K25,DATA!$J$26:$O$28,K27+1,FALSE)</f>
        <v>1</v>
      </c>
      <c r="L29" s="327">
        <f>VLOOKUP(L25,DATA!$J$26:$O$28,L27+1,FALSE)</f>
        <v>1</v>
      </c>
      <c r="M29" s="327" t="e">
        <f>VLOOKUP(M25,DATA!$J$26:$O$28,M27+1,FALSE)</f>
        <v>#N/A</v>
      </c>
      <c r="N29" s="327" t="e">
        <f>VLOOKUP(N25,DATA!$J$26:$O$28,N27+1,FALSE)</f>
        <v>#N/A</v>
      </c>
      <c r="O29" s="327" t="e">
        <f>VLOOKUP(O25,DATA!$J$26:$O$28,O27+1,FALSE)</f>
        <v>#N/A</v>
      </c>
      <c r="P29" s="327" t="e">
        <f>VLOOKUP(P25,DATA!$J$26:$O$28,P27+1,FALSE)</f>
        <v>#N/A</v>
      </c>
      <c r="Q29" s="327" t="e">
        <f>VLOOKUP(Q25,DATA!$J$26:$O$28,Q27+1,FALSE)</f>
        <v>#N/A</v>
      </c>
      <c r="R29" s="327" t="e">
        <f>VLOOKUP(R25,DATA!$J$26:$O$28,R27+1,FALSE)</f>
        <v>#N/A</v>
      </c>
      <c r="S29" s="327" t="e">
        <f>VLOOKUP(S25,DATA!$J$26:$O$28,S27+1,FALSE)</f>
        <v>#N/A</v>
      </c>
      <c r="T29" s="327" t="e">
        <f>VLOOKUP(T25,DATA!$J$26:$O$28,T27+1,FALSE)</f>
        <v>#N/A</v>
      </c>
      <c r="U29" s="327" t="e">
        <f>VLOOKUP(U25,DATA!$J$26:$O$28,U27+1,FALSE)</f>
        <v>#N/A</v>
      </c>
      <c r="V29" s="327" t="e">
        <f>VLOOKUP(V25,DATA!$J$26:$O$28,V27+1,FALSE)</f>
        <v>#N/A</v>
      </c>
      <c r="W29" s="327" t="e">
        <f>VLOOKUP(W25,DATA!$J$26:$O$28,W27+1,FALSE)</f>
        <v>#N/A</v>
      </c>
      <c r="X29" s="328" t="e">
        <f>VLOOKUP(X25,DATA!$J$26:$O$28,X27+1,FALSE)</f>
        <v>#N/A</v>
      </c>
    </row>
    <row r="30" spans="2:27" x14ac:dyDescent="0.25">
      <c r="B30" s="14" t="s">
        <v>241</v>
      </c>
      <c r="C30" s="20"/>
      <c r="D30" s="304"/>
      <c r="E30" s="327">
        <f>VLOOKUP(E26,DATA!$J$29:$O$34,E27+1,FALSE)</f>
        <v>2</v>
      </c>
      <c r="F30" s="327">
        <f>VLOOKUP(F26,DATA!$J$29:$O$34,F27+1,FALSE)</f>
        <v>1.2</v>
      </c>
      <c r="G30" s="327">
        <f>VLOOKUP(G26,DATA!$J$29:$O$34,G27+1,FALSE)</f>
        <v>2</v>
      </c>
      <c r="H30" s="327">
        <f>VLOOKUP(H26,DATA!$J$29:$O$34,H27+1,FALSE)</f>
        <v>1.65</v>
      </c>
      <c r="I30" s="327">
        <f>VLOOKUP(I26,DATA!$J$29:$O$34,I27+1,FALSE)</f>
        <v>2</v>
      </c>
      <c r="J30" s="327">
        <f>VLOOKUP(J26,DATA!$J$29:$O$34,J27+1,FALSE)</f>
        <v>2</v>
      </c>
      <c r="K30" s="327">
        <f>VLOOKUP(K26,DATA!$J$29:$O$34,K27+1,FALSE)</f>
        <v>1.3</v>
      </c>
      <c r="L30" s="327">
        <f>VLOOKUP(L26,DATA!$J$29:$O$34,L27+1,FALSE)</f>
        <v>1.3</v>
      </c>
      <c r="M30" s="327" t="e">
        <f>VLOOKUP(M26,DATA!$J$29:$O$34,M27+1,FALSE)</f>
        <v>#N/A</v>
      </c>
      <c r="N30" s="327" t="e">
        <f>VLOOKUP(N26,DATA!$J$29:$O$34,N27+1,FALSE)</f>
        <v>#N/A</v>
      </c>
      <c r="O30" s="327" t="e">
        <f>VLOOKUP(O26,DATA!$J$29:$O$34,O27+1,FALSE)</f>
        <v>#N/A</v>
      </c>
      <c r="P30" s="327" t="e">
        <f>VLOOKUP(P26,DATA!$J$29:$O$34,P27+1,FALSE)</f>
        <v>#N/A</v>
      </c>
      <c r="Q30" s="327" t="e">
        <f>VLOOKUP(Q26,DATA!$J$29:$O$34,Q27+1,FALSE)</f>
        <v>#N/A</v>
      </c>
      <c r="R30" s="327" t="e">
        <f>VLOOKUP(R26,DATA!$J$29:$O$34,R27+1,FALSE)</f>
        <v>#N/A</v>
      </c>
      <c r="S30" s="327" t="e">
        <f>VLOOKUP(S26,DATA!$J$29:$O$34,S27+1,FALSE)</f>
        <v>#N/A</v>
      </c>
      <c r="T30" s="327" t="e">
        <f>VLOOKUP(T26,DATA!$J$29:$O$34,T27+1,FALSE)</f>
        <v>#N/A</v>
      </c>
      <c r="U30" s="327" t="e">
        <f>VLOOKUP(U26,DATA!$J$29:$O$34,U27+1,FALSE)</f>
        <v>#N/A</v>
      </c>
      <c r="V30" s="327" t="e">
        <f>VLOOKUP(V26,DATA!$J$29:$O$34,V27+1,FALSE)</f>
        <v>#N/A</v>
      </c>
      <c r="W30" s="327" t="e">
        <f>VLOOKUP(W26,DATA!$J$29:$O$34,W27+1,FALSE)</f>
        <v>#N/A</v>
      </c>
      <c r="X30" s="328" t="e">
        <f>VLOOKUP(X26,DATA!$J$29:$O$34,X27+1,FALSE)</f>
        <v>#N/A</v>
      </c>
    </row>
    <row r="31" spans="2:27" x14ac:dyDescent="0.25">
      <c r="B31" s="14" t="s">
        <v>245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1.3282500000000002</v>
      </c>
      <c r="H31" s="327">
        <f>VLOOKUP(DATA!$J$35,DATA!$J$35:$O$37,H27+1,0)*VLOOKUP(DATA!$J$36,DATA!$J$35:$O$37,H27+1,0)*VLOOKUP(DATA!$J$37,DATA!$J$35:$O$37,H27+1,0)</f>
        <v>1.3282500000000002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1.3282500000000002</v>
      </c>
      <c r="K31" s="327">
        <f>VLOOKUP(DATA!$J$35,DATA!$J$35:$O$37,K27+1,0)*VLOOKUP(DATA!$J$36,DATA!$J$35:$O$37,K27+1,0)*VLOOKUP(DATA!$J$37,DATA!$J$35:$O$37,K27+1,0)</f>
        <v>1.2705000000000004</v>
      </c>
      <c r="L31" s="327">
        <f>VLOOKUP(DATA!$J$35,DATA!$J$35:$O$37,L27+1,0)*VLOOKUP(DATA!$J$36,DATA!$J$35:$O$37,L27+1,0)*VLOOKUP(DATA!$J$37,DATA!$J$35:$O$37,L27+1,0)</f>
        <v>1.2705000000000004</v>
      </c>
      <c r="M31" s="327">
        <f>VLOOKUP(DATA!$J$35,DATA!$J$35:$O$37,M27+1,0)*VLOOKUP(DATA!$J$36,DATA!$J$35:$O$37,M27+1,0)*VLOOKUP(DATA!$J$37,DATA!$J$35:$O$37,M27+1,0)</f>
        <v>1.2127500000000002</v>
      </c>
      <c r="N31" s="327">
        <f>VLOOKUP(DATA!$J$35,DATA!$J$35:$O$37,N27+1,0)*VLOOKUP(DATA!$J$36,DATA!$J$35:$O$37,N27+1,0)*VLOOKUP(DATA!$J$37,DATA!$J$35:$O$37,N27+1,0)</f>
        <v>1.2127500000000002</v>
      </c>
      <c r="O31" s="327">
        <f>VLOOKUP(DATA!$J$35,DATA!$J$35:$O$37,O27+1,0)*VLOOKUP(DATA!$J$36,DATA!$J$35:$O$37,O27+1,0)*VLOOKUP(DATA!$J$37,DATA!$J$35:$O$37,O27+1,0)</f>
        <v>1.2127500000000002</v>
      </c>
      <c r="P31" s="327">
        <f>VLOOKUP(DATA!$J$35,DATA!$J$35:$O$37,P27+1,0)*VLOOKUP(DATA!$J$36,DATA!$J$35:$O$37,P27+1,0)*VLOOKUP(DATA!$J$37,DATA!$J$35:$O$37,P27+1,0)</f>
        <v>1.2127500000000002</v>
      </c>
      <c r="Q31" s="327">
        <f>VLOOKUP(DATA!$J$35,DATA!$J$35:$O$37,Q27+1,0)*VLOOKUP(DATA!$J$36,DATA!$J$35:$O$37,Q27+1,0)*VLOOKUP(DATA!$J$37,DATA!$J$35:$O$37,Q27+1,0)</f>
        <v>1.2127500000000002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5">
      <c r="B32" s="14" t="s">
        <v>233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25</v>
      </c>
      <c r="H32" s="327">
        <f>HLOOKUP(H27,DATA!$K$21:$O$22,2,0)</f>
        <v>25</v>
      </c>
      <c r="I32" s="327">
        <f>HLOOKUP(I27,DATA!$K$21:$O$22,2,0)</f>
        <v>25</v>
      </c>
      <c r="J32" s="327">
        <f>HLOOKUP(J27,DATA!$K$21:$O$22,2,0)</f>
        <v>25</v>
      </c>
      <c r="K32" s="327">
        <f>HLOOKUP(K27,DATA!$K$21:$O$22,2,0)</f>
        <v>20</v>
      </c>
      <c r="L32" s="327">
        <f>HLOOKUP(L27,DATA!$K$21:$O$22,2,0)</f>
        <v>20</v>
      </c>
      <c r="M32" s="327">
        <f>HLOOKUP(M27,DATA!$K$21:$O$22,2,0)</f>
        <v>43</v>
      </c>
      <c r="N32" s="327">
        <f>HLOOKUP(N27,DATA!$K$21:$O$22,2,0)</f>
        <v>43</v>
      </c>
      <c r="O32" s="327">
        <f>HLOOKUP(O27,DATA!$K$21:$O$22,2,0)</f>
        <v>43</v>
      </c>
      <c r="P32" s="327">
        <f>HLOOKUP(P27,DATA!$K$21:$O$22,2,0)</f>
        <v>43</v>
      </c>
      <c r="Q32" s="327">
        <f>HLOOKUP(Q27,DATA!$K$21:$O$22,2,0)</f>
        <v>43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5">
      <c r="B33" s="14" t="s">
        <v>247</v>
      </c>
      <c r="C33" s="20"/>
      <c r="D33" s="329" t="s">
        <v>246</v>
      </c>
      <c r="E33" s="327">
        <f>E32*E31*E30*E29*E28</f>
        <v>86.336250000000021</v>
      </c>
      <c r="F33" s="327">
        <f t="shared" ref="F33:X33" si="4">F32*F31*F30*F29*F28</f>
        <v>62.162100000000002</v>
      </c>
      <c r="G33" s="327">
        <f t="shared" si="4"/>
        <v>87.664500000000018</v>
      </c>
      <c r="H33" s="327">
        <f t="shared" si="4"/>
        <v>85.472887500000013</v>
      </c>
      <c r="I33" s="327">
        <f t="shared" si="4"/>
        <v>103.60350000000001</v>
      </c>
      <c r="J33" s="327">
        <f t="shared" si="4"/>
        <v>73.053750000000022</v>
      </c>
      <c r="K33" s="327">
        <f t="shared" si="4"/>
        <v>36.336300000000016</v>
      </c>
      <c r="L33" s="327">
        <f t="shared" si="4"/>
        <v>33.033000000000008</v>
      </c>
      <c r="M33" s="327" t="e">
        <f t="shared" si="4"/>
        <v>#N/A</v>
      </c>
      <c r="N33" s="327" t="e">
        <f t="shared" si="4"/>
        <v>#N/A</v>
      </c>
      <c r="O33" s="327" t="e">
        <f t="shared" si="4"/>
        <v>#N/A</v>
      </c>
      <c r="P33" s="327" t="e">
        <f t="shared" si="4"/>
        <v>#N/A</v>
      </c>
      <c r="Q33" s="327" t="e">
        <f t="shared" si="4"/>
        <v>#N/A</v>
      </c>
      <c r="R33" s="327" t="e">
        <f t="shared" si="4"/>
        <v>#N/A</v>
      </c>
      <c r="S33" s="327" t="e">
        <f t="shared" si="4"/>
        <v>#N/A</v>
      </c>
      <c r="T33" s="327" t="e">
        <f t="shared" si="4"/>
        <v>#N/A</v>
      </c>
      <c r="U33" s="327" t="e">
        <f t="shared" si="4"/>
        <v>#N/A</v>
      </c>
      <c r="V33" s="327" t="e">
        <f t="shared" si="4"/>
        <v>#N/A</v>
      </c>
      <c r="W33" s="327" t="e">
        <f t="shared" si="4"/>
        <v>#N/A</v>
      </c>
      <c r="X33" s="328" t="e">
        <f t="shared" si="4"/>
        <v>#N/A</v>
      </c>
    </row>
    <row r="34" spans="2:24" x14ac:dyDescent="0.25">
      <c r="B34" s="21" t="s">
        <v>37</v>
      </c>
      <c r="C34" s="22"/>
      <c r="D34" s="330" t="s">
        <v>14</v>
      </c>
      <c r="E34" s="327">
        <f>SUM(E12:E16)</f>
        <v>27</v>
      </c>
      <c r="F34" s="327">
        <f t="shared" ref="F34:X34" si="5">SUM(F12:F16)</f>
        <v>20</v>
      </c>
      <c r="G34" s="327">
        <f t="shared" si="5"/>
        <v>47</v>
      </c>
      <c r="H34" s="327">
        <f t="shared" si="5"/>
        <v>80</v>
      </c>
      <c r="I34" s="327">
        <f t="shared" si="5"/>
        <v>22</v>
      </c>
      <c r="J34" s="327">
        <f t="shared" si="5"/>
        <v>66</v>
      </c>
      <c r="K34" s="327">
        <f t="shared" si="5"/>
        <v>1</v>
      </c>
      <c r="L34" s="327">
        <f t="shared" si="5"/>
        <v>1</v>
      </c>
      <c r="M34" s="327">
        <f t="shared" si="5"/>
        <v>0</v>
      </c>
      <c r="N34" s="327">
        <f t="shared" si="5"/>
        <v>0</v>
      </c>
      <c r="O34" s="327">
        <f t="shared" si="5"/>
        <v>0</v>
      </c>
      <c r="P34" s="327">
        <f t="shared" si="5"/>
        <v>0</v>
      </c>
      <c r="Q34" s="327">
        <f t="shared" si="5"/>
        <v>0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5">
      <c r="B35" s="331" t="s">
        <v>294</v>
      </c>
      <c r="C35" s="79"/>
      <c r="D35" s="332" t="s">
        <v>38</v>
      </c>
      <c r="E35" s="327">
        <f>IF(ISNUMBER(E36),"",IF(E7="ANO",E33*E8/1000*E34*DATA!$D$33,E33*E8/1000*E34))</f>
        <v>469.59581418750008</v>
      </c>
      <c r="F35" s="327">
        <f>IF(ISNUMBER(F36),"",IF(F7="ANO",F33*F8/1000*F34*DATA!$D$33,F33*F8/1000*F34))</f>
        <v>60.29723700000001</v>
      </c>
      <c r="G35" s="327">
        <f>IF(ISNUMBER(G36),"",IF(G7="ANO",G33*G8/1000*G34*DATA!$D$33,G33*G8/1000*G34))</f>
        <v>371.23285815000008</v>
      </c>
      <c r="H35" s="327">
        <f>IF(ISNUMBER(H36),"",IF(H7="ANO",H33*H8/1000*H34*DATA!$D$33,H33*H8/1000*H34))</f>
        <v>616.08857310000008</v>
      </c>
      <c r="I35" s="327">
        <f>IF(ISNUMBER(I36),"",IF(I7="ANO",I33*I8/1000*I34*DATA!$D$33,I33*I8/1000*I34))</f>
        <v>205.36285770000003</v>
      </c>
      <c r="J35" s="327">
        <f>IF(ISNUMBER(J36),"",IF(J7="ANO",J33*J8/1000*J34*DATA!$D$33,J33*J8/1000*J34))</f>
        <v>971.30074387500008</v>
      </c>
      <c r="K35" s="327">
        <f>IF(ISNUMBER(K36),"",IF(K7="ANO",K33*K8/1000*K34*DATA!$D$33,K33*K8/1000*K34))</f>
        <v>30.885855000000014</v>
      </c>
      <c r="L35" s="327">
        <f>IF(ISNUMBER(L36),"",IF(L7="ANO",L33*L8/1000*L34*DATA!$D$33,L33*L8/1000*L34))</f>
        <v>44.924880000000009</v>
      </c>
      <c r="M35" s="327" t="e">
        <f>IF(ISNUMBER(M36),"",IF(M7="ANO",M33*M8/1000*M34*DATA!$D$33,M33*M8/1000*M34))</f>
        <v>#N/A</v>
      </c>
      <c r="N35" s="327" t="e">
        <f>IF(ISNUMBER(N36),"",IF(N7="ANO",N33*N8/1000*N34*DATA!$D$33,N33*N8/1000*N34))</f>
        <v>#N/A</v>
      </c>
      <c r="O35" s="327" t="e">
        <f>IF(ISNUMBER(O36),"",IF(O7="ANO",O33*O8/1000*O34*DATA!$D$33,O33*O8/1000*O34))</f>
        <v>#N/A</v>
      </c>
      <c r="P35" s="327" t="e">
        <f>IF(ISNUMBER(P36),"",IF(P7="ANO",P33*P8/1000*P34*DATA!$D$33,P33*P8/1000*P34))</f>
        <v>#N/A</v>
      </c>
      <c r="Q35" s="327" t="e">
        <f>IF(ISNUMBER(Q36),"",IF(Q7="ANO",Q33*Q8/1000*Q34*DATA!$D$33,Q33*Q8/1000*Q34))</f>
        <v>#N/A</v>
      </c>
      <c r="R35" s="327" t="e">
        <f>IF(ISNUMBER(R36),"",IF(R7="ANO",R33*R8/1000*R34*DATA!$D$33,R33*R8/1000*R34))</f>
        <v>#N/A</v>
      </c>
      <c r="S35" s="327" t="e">
        <f>IF(ISNUMBER(S36),"",IF(S7="ANO",S33*S8/1000*S34*DATA!$D$33,S33*S8/1000*S34))</f>
        <v>#N/A</v>
      </c>
      <c r="T35" s="327" t="e">
        <f>IF(ISNUMBER(T36),"",IF(T7="ANO",T33*T8/1000*T34*DATA!$D$33,T33*T8/1000*T34))</f>
        <v>#N/A</v>
      </c>
      <c r="U35" s="327" t="e">
        <f>IF(ISNUMBER(U36),"",IF(U7="ANO",U33*U8/1000*U34*DATA!$D$33,U33*U8/1000*U34))</f>
        <v>#N/A</v>
      </c>
      <c r="V35" s="327" t="e">
        <f>IF(ISNUMBER(V36),"",IF(V7="ANO",V33*V8/1000*V34*DATA!$D$33,V33*V8/1000*V34))</f>
        <v>#N/A</v>
      </c>
      <c r="W35" s="327" t="e">
        <f>IF(ISNUMBER(W36),"",IF(W7="ANO",W33*W8/1000*W34*DATA!$D$33,W33*W8/1000*W34))</f>
        <v>#N/A</v>
      </c>
      <c r="X35" s="328" t="e">
        <f>IF(ISNUMBER(X36),"",IF(X7="ANO",X33*X8/1000*X34*DATA!$D$33,X33*X8/1000*X34))</f>
        <v>#N/A</v>
      </c>
    </row>
    <row r="36" spans="2:24" ht="13" x14ac:dyDescent="0.3">
      <c r="B36" s="333" t="s">
        <v>373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3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1127.0299540500002</v>
      </c>
      <c r="F37" s="339">
        <f>IF(ISBLANK(F6),"-",IF(ISBLANK(F36),F35*VLOOKUP(F6,DATA!$B$19:$C$22,2,0),F36*VLOOKUP(F6,DATA!$B$19:$C$22,2,0)))</f>
        <v>535.43946456000015</v>
      </c>
      <c r="G37" s="339">
        <f>IF(ISBLANK(G6),"-",IF(ISBLANK(G36),G35*VLOOKUP(G6,DATA!$B$19:$C$22,2,0),G36*VLOOKUP(G6,DATA!$B$19:$C$22,2,0)))</f>
        <v>890.95885956000018</v>
      </c>
      <c r="H37" s="339">
        <f>IF(ISBLANK(H6),"-",IF(ISBLANK(H36),H35*VLOOKUP(H6,DATA!$B$19:$C$22,2,0),H36*VLOOKUP(H6,DATA!$B$19:$C$22,2,0)))</f>
        <v>1478.6125754400002</v>
      </c>
      <c r="I37" s="339">
        <f>IF(ISBLANK(I6),"-",IF(ISBLANK(I36),I35*VLOOKUP(I6,DATA!$B$19:$C$22,2,0),I36*VLOOKUP(I6,DATA!$B$19:$C$22,2,0)))</f>
        <v>492.87085848000004</v>
      </c>
      <c r="J37" s="339">
        <f>IF(ISBLANK(J6),"-",IF(ISBLANK(J36),J35*VLOOKUP(J6,DATA!$B$19:$C$22,2,0),J36*VLOOKUP(J6,DATA!$B$19:$C$22,2,0)))</f>
        <v>2331.1217853000003</v>
      </c>
      <c r="K37" s="339">
        <f>IF(ISBLANK(K6),"-",IF(ISBLANK(K36),K35*VLOOKUP(K6,DATA!$B$19:$C$22,2,0),K36*VLOOKUP(K6,DATA!$B$19:$C$22,2,0)))</f>
        <v>74.12605200000003</v>
      </c>
      <c r="L37" s="339">
        <f>IF(ISBLANK(L6),"-",IF(ISBLANK(L36),L35*VLOOKUP(L6,DATA!$B$19:$C$22,2,0),L36*VLOOKUP(L6,DATA!$B$19:$C$22,2,0)))</f>
        <v>107.81971200000002</v>
      </c>
      <c r="M37" s="339" t="str">
        <f>IF(ISBLANK(M6),"-",IF(ISBLANK(M36),M35*VLOOKUP(M6,DATA!$B$19:$C$22,2,0),M36*VLOOKUP(M6,DATA!$B$19:$C$22,2,0)))</f>
        <v>-</v>
      </c>
      <c r="N37" s="339" t="str">
        <f>IF(ISBLANK(N6),"-",IF(ISBLANK(N36),N35*VLOOKUP(N6,DATA!$B$19:$C$22,2,0),N36*VLOOKUP(N6,DATA!$B$19:$C$22,2,0)))</f>
        <v>-</v>
      </c>
      <c r="O37" s="339" t="str">
        <f>IF(ISBLANK(O6),"-",IF(ISBLANK(O36),O35*VLOOKUP(O6,DATA!$B$19:$C$22,2,0),O36*VLOOKUP(O6,DATA!$B$19:$C$22,2,0)))</f>
        <v>-</v>
      </c>
      <c r="P37" s="339" t="str">
        <f>IF(ISBLANK(P6),"-",IF(ISBLANK(P36),P35*VLOOKUP(P6,DATA!$B$19:$C$22,2,0),P36*VLOOKUP(P6,DATA!$B$19:$C$22,2,0)))</f>
        <v>-</v>
      </c>
      <c r="Q37" s="339" t="str">
        <f>IF(ISBLANK(Q6),"-",IF(ISBLANK(Q36),Q35*VLOOKUP(Q6,DATA!$B$19:$C$22,2,0),Q36*VLOOKUP(Q6,DATA!$B$19:$C$22,2,0)))</f>
        <v>-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5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35">
      <c r="B39" s="1" t="s">
        <v>279</v>
      </c>
      <c r="C39" s="32"/>
      <c r="D39" s="35"/>
      <c r="E39" s="32"/>
      <c r="F39" s="32"/>
      <c r="G39" s="32"/>
      <c r="H39" s="32"/>
      <c r="I39" s="32"/>
      <c r="J39" s="543" t="s">
        <v>346</v>
      </c>
      <c r="K39" s="543"/>
      <c r="N39" s="543" t="s">
        <v>347</v>
      </c>
      <c r="O39" s="543"/>
      <c r="S39" s="543" t="s">
        <v>353</v>
      </c>
      <c r="T39" s="543"/>
    </row>
    <row r="40" spans="2:24" ht="13" x14ac:dyDescent="0.3">
      <c r="B40" s="526" t="s">
        <v>354</v>
      </c>
      <c r="C40" s="527"/>
      <c r="D40" s="60" t="s">
        <v>257</v>
      </c>
      <c r="E40" s="528" t="s">
        <v>258</v>
      </c>
      <c r="F40" s="529"/>
      <c r="G40" s="529"/>
      <c r="H40" s="530"/>
      <c r="I40" s="32"/>
      <c r="J40" s="535" t="s">
        <v>313</v>
      </c>
      <c r="K40" s="536"/>
      <c r="L40" s="342" t="s">
        <v>319</v>
      </c>
      <c r="N40" s="4" t="s">
        <v>348</v>
      </c>
      <c r="O40" s="308"/>
      <c r="P40" s="308"/>
      <c r="Q40" s="343"/>
      <c r="S40" s="541" t="s">
        <v>349</v>
      </c>
      <c r="T40" s="542"/>
      <c r="U40" s="342" t="s">
        <v>352</v>
      </c>
    </row>
    <row r="41" spans="2:24" x14ac:dyDescent="0.25">
      <c r="B41" s="518" t="s">
        <v>134</v>
      </c>
      <c r="C41" s="519"/>
      <c r="D41" s="344">
        <v>1</v>
      </c>
      <c r="E41" s="516" t="s">
        <v>248</v>
      </c>
      <c r="F41" s="516"/>
      <c r="G41" s="516"/>
      <c r="H41" s="517"/>
      <c r="I41" s="100"/>
      <c r="J41" s="533" t="s">
        <v>314</v>
      </c>
      <c r="K41" s="534"/>
      <c r="L41" s="345">
        <v>1.1499999999999999</v>
      </c>
      <c r="N41" s="346" t="s">
        <v>344</v>
      </c>
      <c r="O41" s="347" t="s">
        <v>345</v>
      </c>
      <c r="P41" s="347" t="s">
        <v>344</v>
      </c>
      <c r="Q41" s="348" t="s">
        <v>345</v>
      </c>
      <c r="S41" s="537" t="s">
        <v>351</v>
      </c>
      <c r="T41" s="538"/>
      <c r="U41" s="345">
        <v>1</v>
      </c>
    </row>
    <row r="42" spans="2:24" ht="13" thickBot="1" x14ac:dyDescent="0.3">
      <c r="B42" s="518"/>
      <c r="C42" s="519"/>
      <c r="D42" s="344">
        <v>2</v>
      </c>
      <c r="E42" s="516" t="s">
        <v>249</v>
      </c>
      <c r="F42" s="516"/>
      <c r="G42" s="516"/>
      <c r="H42" s="517"/>
      <c r="I42" s="100"/>
      <c r="J42" s="533" t="s">
        <v>315</v>
      </c>
      <c r="K42" s="534"/>
      <c r="L42" s="345">
        <v>1.1200000000000001</v>
      </c>
      <c r="N42" s="349" t="s">
        <v>322</v>
      </c>
      <c r="O42" s="350">
        <v>0.42</v>
      </c>
      <c r="P42" s="351" t="s">
        <v>333</v>
      </c>
      <c r="Q42" s="352">
        <v>2.77</v>
      </c>
      <c r="S42" s="539" t="s">
        <v>350</v>
      </c>
      <c r="T42" s="540"/>
      <c r="U42" s="353">
        <v>0.95</v>
      </c>
    </row>
    <row r="43" spans="2:24" x14ac:dyDescent="0.25">
      <c r="B43" s="518"/>
      <c r="C43" s="519"/>
      <c r="D43" s="344">
        <v>3</v>
      </c>
      <c r="E43" s="516" t="s">
        <v>250</v>
      </c>
      <c r="F43" s="516"/>
      <c r="G43" s="516"/>
      <c r="H43" s="517"/>
      <c r="J43" s="533" t="s">
        <v>316</v>
      </c>
      <c r="K43" s="534"/>
      <c r="L43" s="345">
        <v>1</v>
      </c>
      <c r="N43" s="349" t="s">
        <v>323</v>
      </c>
      <c r="O43" s="350">
        <v>0.49</v>
      </c>
      <c r="P43" s="351" t="s">
        <v>334</v>
      </c>
      <c r="Q43" s="352">
        <v>3.36</v>
      </c>
      <c r="S43" s="354"/>
      <c r="T43" s="354"/>
      <c r="U43" s="354"/>
    </row>
    <row r="44" spans="2:24" ht="13" x14ac:dyDescent="0.3">
      <c r="B44" s="518" t="s">
        <v>133</v>
      </c>
      <c r="C44" s="519"/>
      <c r="D44" s="344">
        <v>1</v>
      </c>
      <c r="E44" s="516" t="s">
        <v>251</v>
      </c>
      <c r="F44" s="516"/>
      <c r="G44" s="516"/>
      <c r="H44" s="517"/>
      <c r="J44" s="533" t="s">
        <v>317</v>
      </c>
      <c r="K44" s="534"/>
      <c r="L44" s="345">
        <v>0.88</v>
      </c>
      <c r="N44" s="349" t="s">
        <v>324</v>
      </c>
      <c r="O44" s="350">
        <v>0.59</v>
      </c>
      <c r="P44" s="351" t="s">
        <v>335</v>
      </c>
      <c r="Q44" s="352">
        <v>3.88</v>
      </c>
    </row>
    <row r="45" spans="2:24" ht="13.5" thickBot="1" x14ac:dyDescent="0.35">
      <c r="B45" s="518"/>
      <c r="C45" s="519"/>
      <c r="D45" s="344">
        <v>2</v>
      </c>
      <c r="E45" s="516" t="s">
        <v>252</v>
      </c>
      <c r="F45" s="516"/>
      <c r="G45" s="516"/>
      <c r="H45" s="517"/>
      <c r="J45" s="531" t="s">
        <v>318</v>
      </c>
      <c r="K45" s="532"/>
      <c r="L45" s="353">
        <v>0.71</v>
      </c>
      <c r="N45" s="349" t="s">
        <v>325</v>
      </c>
      <c r="O45" s="350">
        <v>0.76</v>
      </c>
      <c r="P45" s="351" t="s">
        <v>336</v>
      </c>
      <c r="Q45" s="352">
        <v>4.3600000000000003</v>
      </c>
    </row>
    <row r="46" spans="2:24" ht="13" x14ac:dyDescent="0.3">
      <c r="B46" s="518"/>
      <c r="C46" s="519"/>
      <c r="D46" s="344">
        <v>3</v>
      </c>
      <c r="E46" s="516" t="s">
        <v>253</v>
      </c>
      <c r="F46" s="516"/>
      <c r="G46" s="516"/>
      <c r="H46" s="517"/>
      <c r="J46" s="535" t="s">
        <v>320</v>
      </c>
      <c r="K46" s="536"/>
      <c r="L46" s="342" t="s">
        <v>321</v>
      </c>
      <c r="N46" s="349" t="s">
        <v>326</v>
      </c>
      <c r="O46" s="350">
        <v>0.94</v>
      </c>
      <c r="P46" s="351" t="s">
        <v>337</v>
      </c>
      <c r="Q46" s="352">
        <v>4.8899999999999997</v>
      </c>
    </row>
    <row r="47" spans="2:24" x14ac:dyDescent="0.25">
      <c r="B47" s="518" t="s">
        <v>238</v>
      </c>
      <c r="C47" s="519"/>
      <c r="D47" s="344">
        <v>1</v>
      </c>
      <c r="E47" s="516" t="s">
        <v>254</v>
      </c>
      <c r="F47" s="516"/>
      <c r="G47" s="516"/>
      <c r="H47" s="517"/>
      <c r="J47" s="533" t="s">
        <v>367</v>
      </c>
      <c r="K47" s="534"/>
      <c r="L47" s="345">
        <v>1</v>
      </c>
      <c r="N47" s="349" t="s">
        <v>327</v>
      </c>
      <c r="O47" s="350">
        <v>1.1399999999999999</v>
      </c>
      <c r="P47" s="351" t="s">
        <v>338</v>
      </c>
      <c r="Q47" s="352">
        <v>5.37</v>
      </c>
    </row>
    <row r="48" spans="2:24" x14ac:dyDescent="0.25">
      <c r="B48" s="518"/>
      <c r="C48" s="519"/>
      <c r="D48" s="344">
        <v>2</v>
      </c>
      <c r="E48" s="516" t="s">
        <v>255</v>
      </c>
      <c r="F48" s="516"/>
      <c r="G48" s="516"/>
      <c r="H48" s="517"/>
      <c r="J48" s="533" t="s">
        <v>368</v>
      </c>
      <c r="K48" s="534"/>
      <c r="L48" s="345">
        <v>1</v>
      </c>
      <c r="N48" s="349" t="s">
        <v>328</v>
      </c>
      <c r="O48" s="350">
        <v>1.34</v>
      </c>
      <c r="P48" s="351" t="s">
        <v>339</v>
      </c>
      <c r="Q48" s="352">
        <v>5.92</v>
      </c>
    </row>
    <row r="49" spans="2:17" x14ac:dyDescent="0.25">
      <c r="B49" s="518"/>
      <c r="C49" s="519"/>
      <c r="D49" s="344">
        <v>3</v>
      </c>
      <c r="E49" s="516" t="s">
        <v>256</v>
      </c>
      <c r="F49" s="516"/>
      <c r="G49" s="516"/>
      <c r="H49" s="517"/>
      <c r="J49" s="533" t="s">
        <v>369</v>
      </c>
      <c r="K49" s="534"/>
      <c r="L49" s="345">
        <v>0.3</v>
      </c>
      <c r="N49" s="349" t="s">
        <v>329</v>
      </c>
      <c r="O49" s="350">
        <v>1.5</v>
      </c>
      <c r="P49" s="351" t="s">
        <v>340</v>
      </c>
      <c r="Q49" s="352">
        <v>6.39</v>
      </c>
    </row>
    <row r="50" spans="2:17" x14ac:dyDescent="0.25">
      <c r="B50" s="520"/>
      <c r="C50" s="521"/>
      <c r="D50" s="355">
        <v>4</v>
      </c>
      <c r="E50" s="516" t="s">
        <v>298</v>
      </c>
      <c r="F50" s="516"/>
      <c r="G50" s="516"/>
      <c r="H50" s="517"/>
      <c r="J50" s="533" t="s">
        <v>370</v>
      </c>
      <c r="K50" s="534"/>
      <c r="L50" s="345">
        <v>0.65</v>
      </c>
      <c r="N50" s="349" t="s">
        <v>330</v>
      </c>
      <c r="O50" s="350">
        <v>1.76</v>
      </c>
      <c r="P50" s="351" t="s">
        <v>341</v>
      </c>
      <c r="Q50" s="352">
        <v>6.88</v>
      </c>
    </row>
    <row r="51" spans="2:17" ht="13" thickBot="1" x14ac:dyDescent="0.3">
      <c r="B51" s="520"/>
      <c r="C51" s="521"/>
      <c r="D51" s="355">
        <v>5</v>
      </c>
      <c r="E51" s="516" t="s">
        <v>299</v>
      </c>
      <c r="F51" s="516"/>
      <c r="G51" s="516"/>
      <c r="H51" s="517"/>
      <c r="J51" s="531" t="s">
        <v>371</v>
      </c>
      <c r="K51" s="532"/>
      <c r="L51" s="353">
        <v>2</v>
      </c>
      <c r="N51" s="349" t="s">
        <v>331</v>
      </c>
      <c r="O51" s="350">
        <v>2.0299999999999998</v>
      </c>
      <c r="P51" s="351" t="s">
        <v>342</v>
      </c>
      <c r="Q51" s="352">
        <v>7.3</v>
      </c>
    </row>
    <row r="52" spans="2:17" ht="13" thickBot="1" x14ac:dyDescent="0.3">
      <c r="B52" s="522"/>
      <c r="C52" s="523"/>
      <c r="D52" s="356">
        <v>6</v>
      </c>
      <c r="E52" s="524" t="s">
        <v>300</v>
      </c>
      <c r="F52" s="524"/>
      <c r="G52" s="524"/>
      <c r="H52" s="525"/>
      <c r="N52" s="357" t="s">
        <v>332</v>
      </c>
      <c r="O52" s="358">
        <v>2.31</v>
      </c>
      <c r="P52" s="359" t="s">
        <v>343</v>
      </c>
      <c r="Q52" s="360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41:K41"/>
    <mergeCell ref="J51:K51"/>
    <mergeCell ref="J45:K45"/>
    <mergeCell ref="J44:K44"/>
    <mergeCell ref="J43:K43"/>
    <mergeCell ref="J42:K42"/>
    <mergeCell ref="J46:K46"/>
    <mergeCell ref="J47:K47"/>
    <mergeCell ref="J48:K48"/>
    <mergeCell ref="J49:K49"/>
    <mergeCell ref="J50:K50"/>
    <mergeCell ref="B40:C40"/>
    <mergeCell ref="E40:H40"/>
    <mergeCell ref="E41:H41"/>
    <mergeCell ref="E42:H42"/>
    <mergeCell ref="E43:H43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  <mergeCell ref="E50:H50"/>
    <mergeCell ref="E44:H44"/>
  </mergeCells>
  <phoneticPr fontId="1" type="noConversion"/>
  <dataValidations count="6">
    <dataValidation type="list" allowBlank="1" showInputMessage="1" showErrorMessage="1" sqref="E24:X24" xr:uid="{00000000-0002-0000-0300-000000000000}">
      <formula1>Zastaveni</formula1>
    </dataValidation>
    <dataValidation type="list" allowBlank="1" showInputMessage="1" showErrorMessage="1" sqref="E25:X25" xr:uid="{00000000-0002-0000-0300-000001000000}">
      <formula1>Sklon</formula1>
    </dataValidation>
    <dataValidation type="list" allowBlank="1" showInputMessage="1" showErrorMessage="1" sqref="E26:X26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7:X7" xr:uid="{00000000-0002-0000-0300-000005000000}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55"/>
  <sheetViews>
    <sheetView showGridLines="0" zoomScaleNormal="100" workbookViewId="0"/>
  </sheetViews>
  <sheetFormatPr defaultColWidth="9.1796875" defaultRowHeight="12.5" x14ac:dyDescent="0.25"/>
  <cols>
    <col min="1" max="1" width="2.81640625" style="2" customWidth="1"/>
    <col min="2" max="2" width="25.54296875" style="2" customWidth="1"/>
    <col min="3" max="3" width="9.1796875" style="2"/>
    <col min="4" max="23" width="11.7265625" style="2" customWidth="1"/>
    <col min="24" max="16384" width="9.1796875" style="2"/>
  </cols>
  <sheetData>
    <row r="2" spans="2:24" ht="13.5" thickBot="1" x14ac:dyDescent="0.35">
      <c r="B2" s="1" t="s">
        <v>280</v>
      </c>
    </row>
    <row r="3" spans="2:24" ht="13" x14ac:dyDescent="0.3">
      <c r="B3" s="228" t="s">
        <v>121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ht="13" x14ac:dyDescent="0.3">
      <c r="B4" s="231" t="s">
        <v>53</v>
      </c>
      <c r="C4" s="107"/>
      <c r="D4" s="387" t="str">
        <f>IF('Pořízení a provozuschopnost ŽKV'!E4&lt;&gt;"",'Pořízení a provozuschopnost ŽKV'!E4,"---")</f>
        <v>S4 Praha - Kralupy</v>
      </c>
      <c r="E4" s="302" t="str">
        <f>IF('Pořízení a provozuschopnost ŽKV'!F4&lt;&gt;"",'Pořízení a provozuschopnost ŽKV'!F4,"---")</f>
        <v>S40 Slaný - Kralupy</v>
      </c>
      <c r="F4" s="302" t="str">
        <f>IF('Pořízení a provozuschopnost ŽKV'!G4&lt;&gt;"",'Pořízení a provozuschopnost ŽKV'!G4,"---")</f>
        <v>R44b Slaný - Praha</v>
      </c>
      <c r="G4" s="302" t="str">
        <f>IF('Pořízení a provozuschopnost ŽKV'!H4&lt;&gt;"",'Pořízení a provozuschopnost ŽKV'!H4,"---")</f>
        <v>S43 Kladno - Ml. Boleslav</v>
      </c>
      <c r="H4" s="302" t="str">
        <f>IF('Pořízení a provozuschopnost ŽKV'!I4&lt;&gt;"",'Pořízení a provozuschopnost ŽKV'!I4,"---")</f>
        <v>R44c Velvary - Praha</v>
      </c>
      <c r="I4" s="302" t="str">
        <f>IF('Pořízení a provozuschopnost ŽKV'!J4&lt;&gt;"",'Pořízení a provozuschopnost ŽKV'!J4,"---")</f>
        <v>R44a Praha - Roudnice</v>
      </c>
      <c r="J4" s="302" t="str">
        <f>IF('Pořízení a provozuschopnost ŽKV'!K4&lt;&gt;"",'Pořízení a provozuschopnost ŽKV'!K4,"---")</f>
        <v>Neratovice E</v>
      </c>
      <c r="K4" s="302" t="str">
        <f>IF('Pořízení a provozuschopnost ŽKV'!L4&lt;&gt;"",'Pořízení a provozuschopnost ŽKV'!L4,"---")</f>
        <v>Nex LB-PB</v>
      </c>
      <c r="L4" s="302" t="str">
        <f>IF('Pořízení a provozuschopnost ŽKV'!M4&lt;&gt;"",'Pořízení a provozuschopnost ŽKV'!M4,"---")</f>
        <v>---</v>
      </c>
      <c r="M4" s="302" t="str">
        <f>IF('Pořízení a provozuschopnost ŽKV'!N4&lt;&gt;"",'Pořízení a provozuschopnost ŽKV'!N4,"---")</f>
        <v>---</v>
      </c>
      <c r="N4" s="302" t="str">
        <f>IF('Pořízení a provozuschopnost ŽKV'!O4&lt;&gt;"",'Pořízení a provozuschopnost ŽKV'!O4,"---")</f>
        <v>---</v>
      </c>
      <c r="O4" s="302" t="str">
        <f>IF('Pořízení a provozuschopnost ŽKV'!P4&lt;&gt;"",'Pořízení a provozuschopnost ŽKV'!P4,"---")</f>
        <v>---</v>
      </c>
      <c r="P4" s="302" t="str">
        <f>IF('Pořízení a provozuschopnost ŽKV'!Q4&lt;&gt;"",'Pořízení a provozuschopnost ŽKV'!Q4,"---")</f>
        <v>---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5">
      <c r="B5" s="116" t="s">
        <v>44</v>
      </c>
      <c r="C5" s="389"/>
      <c r="D5" s="400" t="s">
        <v>301</v>
      </c>
      <c r="E5" s="401" t="s">
        <v>301</v>
      </c>
      <c r="F5" s="401" t="s">
        <v>301</v>
      </c>
      <c r="G5" s="401" t="s">
        <v>301</v>
      </c>
      <c r="H5" s="401" t="s">
        <v>301</v>
      </c>
      <c r="I5" s="401" t="s">
        <v>301</v>
      </c>
      <c r="J5" s="470" t="s">
        <v>302</v>
      </c>
      <c r="K5" s="470" t="s">
        <v>302</v>
      </c>
      <c r="L5" s="470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2"/>
    </row>
    <row r="6" spans="2:24" x14ac:dyDescent="0.25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505.4671428571429</v>
      </c>
      <c r="J6" s="392">
        <f>IF(J5&lt;&gt;"",VLOOKUP(J5,DATA!$P$7:$Q$14,2,0),"")</f>
        <v>707.65400000000011</v>
      </c>
      <c r="K6" s="392">
        <f>IF(K5&lt;&gt;"",VLOOKUP(K5,DATA!$P$7:$Q$14,2,0),"")</f>
        <v>707.65400000000011</v>
      </c>
      <c r="L6" s="392" t="str">
        <f>IF(L5&lt;&gt;"",VLOOKUP(L5,DATA!$P$7:$Q$14,2,0),"")</f>
        <v/>
      </c>
      <c r="M6" s="392" t="str">
        <f>IF(M5&lt;&gt;"",VLOOKUP(M5,DATA!$P$7:$Q$14,2,0),"")</f>
        <v/>
      </c>
      <c r="N6" s="392" t="str">
        <f>IF(N5&lt;&gt;"",VLOOKUP(N5,DATA!$P$7:$Q$14,2,0),"")</f>
        <v/>
      </c>
      <c r="O6" s="392" t="str">
        <f>IF(O5&lt;&gt;"",VLOOKUP(O5,DATA!$P$7:$Q$14,2,0),"")</f>
        <v/>
      </c>
      <c r="P6" s="392" t="str">
        <f>IF(P5&lt;&gt;"",VLOOKUP(P5,DATA!$P$7:$Q$14,2,0),"")</f>
        <v/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5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/>
      <c r="M7" s="384"/>
      <c r="N7" s="384"/>
      <c r="O7" s="384"/>
      <c r="P7" s="384"/>
      <c r="Q7" s="384"/>
      <c r="R7" s="404"/>
      <c r="S7" s="404"/>
      <c r="T7" s="404"/>
      <c r="U7" s="384"/>
      <c r="V7" s="384"/>
      <c r="W7" s="385"/>
    </row>
    <row r="8" spans="2:24" x14ac:dyDescent="0.25">
      <c r="B8" s="394" t="s">
        <v>128</v>
      </c>
      <c r="C8" s="389"/>
      <c r="D8" s="400" t="s">
        <v>120</v>
      </c>
      <c r="E8" s="401"/>
      <c r="F8" s="401" t="s">
        <v>120</v>
      </c>
      <c r="G8" s="401"/>
      <c r="H8" s="401" t="s">
        <v>120</v>
      </c>
      <c r="I8" s="401" t="s">
        <v>120</v>
      </c>
      <c r="J8" s="401"/>
      <c r="K8" s="401"/>
      <c r="L8" s="401"/>
      <c r="M8" s="401"/>
      <c r="N8" s="401"/>
      <c r="O8" s="401"/>
      <c r="P8" s="401"/>
      <c r="Q8" s="401"/>
      <c r="R8" s="361"/>
      <c r="S8" s="361"/>
      <c r="T8" s="401"/>
      <c r="U8" s="401"/>
      <c r="V8" s="401"/>
      <c r="W8" s="402"/>
    </row>
    <row r="9" spans="2:24" x14ac:dyDescent="0.25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 t="str">
        <f>IF(E8&lt;&gt;"",VLOOKUP(E8,DATA!$P$7:$Q$14,2,0),"")</f>
        <v/>
      </c>
      <c r="F9" s="392">
        <f>IF(F8&lt;&gt;"",VLOOKUP(F8,DATA!$P$7:$Q$14,2,0),"")</f>
        <v>403.49040816326533</v>
      </c>
      <c r="G9" s="392" t="str">
        <f>IF(G8&lt;&gt;"",VLOOKUP(G8,DATA!$P$7:$Q$14,2,0),"")</f>
        <v/>
      </c>
      <c r="H9" s="392">
        <f>IF(H8&lt;&gt;"",VLOOKUP(H8,DATA!$P$7:$Q$14,2,0),"")</f>
        <v>403.49040816326533</v>
      </c>
      <c r="I9" s="392">
        <f>IF(I8&lt;&gt;"",VLOOKUP(I8,DATA!$P$7:$Q$14,2,0),"")</f>
        <v>403.49040816326533</v>
      </c>
      <c r="J9" s="392" t="str">
        <f>IF(J8&lt;&gt;"",VLOOKUP(J8,DATA!$P$7:$Q$14,2,0),"")</f>
        <v/>
      </c>
      <c r="K9" s="392" t="str">
        <f>IF(K8&lt;&gt;"",VLOOKUP(K8,DATA!$P$7:$Q$14,2,0),"")</f>
        <v/>
      </c>
      <c r="L9" s="392" t="str">
        <f>IF(L8&lt;&gt;"",VLOOKUP(L8,DATA!$P$7:$Q$14,2,0),"")</f>
        <v/>
      </c>
      <c r="M9" s="392" t="str">
        <f>IF(M8&lt;&gt;"",VLOOKUP(M8,DATA!$P$7:$Q$14,2,0),"")</f>
        <v/>
      </c>
      <c r="N9" s="392" t="str">
        <f>IF(N8&lt;&gt;"",VLOOKUP(N8,DATA!$P$7:$Q$14,2,0),"")</f>
        <v/>
      </c>
      <c r="O9" s="392" t="str">
        <f>IF(O8&lt;&gt;"",VLOOKUP(O8,DATA!$P$7:$Q$14,2,0),"")</f>
        <v/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5">
      <c r="B10" s="81" t="s">
        <v>45</v>
      </c>
      <c r="C10" s="23" t="s">
        <v>46</v>
      </c>
      <c r="D10" s="403">
        <v>1</v>
      </c>
      <c r="E10" s="404"/>
      <c r="F10" s="384">
        <v>1</v>
      </c>
      <c r="G10" s="384"/>
      <c r="H10" s="384">
        <v>1</v>
      </c>
      <c r="I10" s="384">
        <v>1</v>
      </c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5"/>
    </row>
    <row r="11" spans="2:24" x14ac:dyDescent="0.25">
      <c r="B11" s="394" t="s">
        <v>129</v>
      </c>
      <c r="C11" s="389"/>
      <c r="D11" s="400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5">
      <c r="B12" s="14" t="s">
        <v>60</v>
      </c>
      <c r="C12" s="55" t="s">
        <v>61</v>
      </c>
      <c r="D12" s="390" t="str">
        <f>IF(D11&lt;&gt;"",VLOOKUP(D11,DATA!$P$7:$Q$14,2,0),"")</f>
        <v/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 t="str">
        <f>IF(K11&lt;&gt;"",VLOOKUP(K11,DATA!$P$7:$Q$14,2,0),"")</f>
        <v/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5">
      <c r="B13" s="81" t="s">
        <v>45</v>
      </c>
      <c r="C13" s="23" t="s">
        <v>46</v>
      </c>
      <c r="D13" s="403"/>
      <c r="E13" s="40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5">
      <c r="B14" s="394" t="s">
        <v>130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5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5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5">
      <c r="B17" s="394" t="s">
        <v>131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5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5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35">
      <c r="B20" s="395" t="s">
        <v>122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505.4671428571429</v>
      </c>
      <c r="F20" s="397">
        <f t="shared" si="0"/>
        <v>908.95755102040823</v>
      </c>
      <c r="G20" s="397">
        <f t="shared" si="0"/>
        <v>505.4671428571429</v>
      </c>
      <c r="H20" s="397">
        <f t="shared" si="0"/>
        <v>908.95755102040823</v>
      </c>
      <c r="I20" s="397">
        <f t="shared" si="0"/>
        <v>908.95755102040823</v>
      </c>
      <c r="J20" s="397">
        <f t="shared" si="0"/>
        <v>707.65400000000011</v>
      </c>
      <c r="K20" s="397">
        <f t="shared" si="0"/>
        <v>707.65400000000011</v>
      </c>
      <c r="L20" s="397">
        <f t="shared" si="0"/>
        <v>0</v>
      </c>
      <c r="M20" s="397">
        <f t="shared" si="0"/>
        <v>0</v>
      </c>
      <c r="N20" s="397">
        <f t="shared" si="0"/>
        <v>0</v>
      </c>
      <c r="O20" s="397">
        <f t="shared" si="0"/>
        <v>0</v>
      </c>
      <c r="P20" s="397">
        <f t="shared" si="0"/>
        <v>0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5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5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5">
      <c r="C23" s="3"/>
      <c r="D23" s="399"/>
    </row>
    <row r="24" spans="2:25" x14ac:dyDescent="0.25">
      <c r="C24" s="3"/>
      <c r="D24" s="399"/>
    </row>
    <row r="25" spans="2:25" x14ac:dyDescent="0.25">
      <c r="C25" s="3"/>
    </row>
    <row r="26" spans="2:25" x14ac:dyDescent="0.25">
      <c r="C26" s="3"/>
      <c r="D26" s="176"/>
    </row>
    <row r="27" spans="2:25" x14ac:dyDescent="0.25">
      <c r="C27" s="3"/>
    </row>
    <row r="28" spans="2:25" x14ac:dyDescent="0.25">
      <c r="C28" s="3"/>
    </row>
    <row r="29" spans="2:25" x14ac:dyDescent="0.25">
      <c r="C29" s="3"/>
    </row>
    <row r="30" spans="2:25" x14ac:dyDescent="0.25">
      <c r="C30" s="3"/>
    </row>
    <row r="31" spans="2:25" x14ac:dyDescent="0.25">
      <c r="C31" s="3"/>
    </row>
    <row r="32" spans="2:25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X40"/>
  <sheetViews>
    <sheetView showGridLines="0" zoomScaleNormal="100" workbookViewId="0"/>
  </sheetViews>
  <sheetFormatPr defaultColWidth="9.1796875" defaultRowHeight="12.5" x14ac:dyDescent="0.25"/>
  <cols>
    <col min="1" max="1" width="2.81640625" style="2" customWidth="1"/>
    <col min="2" max="2" width="28.81640625" style="2" customWidth="1"/>
    <col min="3" max="3" width="15.26953125" style="2" customWidth="1"/>
    <col min="4" max="4" width="10.54296875" style="3" customWidth="1"/>
    <col min="5" max="24" width="11.7265625" style="2" customWidth="1"/>
    <col min="25" max="16384" width="9.1796875" style="2"/>
  </cols>
  <sheetData>
    <row r="2" spans="1:24" ht="13.5" thickBot="1" x14ac:dyDescent="0.35">
      <c r="A2" s="100"/>
      <c r="B2" s="1" t="s">
        <v>281</v>
      </c>
    </row>
    <row r="3" spans="1:24" ht="13" x14ac:dyDescent="0.3">
      <c r="B3" s="4" t="s">
        <v>138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ht="13" x14ac:dyDescent="0.3">
      <c r="B4" s="9" t="s">
        <v>53</v>
      </c>
      <c r="C4" s="10"/>
      <c r="D4" s="11"/>
      <c r="E4" s="12" t="str">
        <f>IF('Pořízení a provozuschopnost ŽKV'!E4&lt;&gt;"",'Pořízení a provozuschopnost ŽKV'!E4,"---")</f>
        <v>S4 Praha - Kralupy</v>
      </c>
      <c r="F4" s="12" t="str">
        <f>IF('Pořízení a provozuschopnost ŽKV'!F4&lt;&gt;"",'Pořízení a provozuschopnost ŽKV'!F4,"---")</f>
        <v>S40 Slaný - Kralupy</v>
      </c>
      <c r="G4" s="12" t="str">
        <f>IF('Pořízení a provozuschopnost ŽKV'!G4&lt;&gt;"",'Pořízení a provozuschopnost ŽKV'!G4,"---")</f>
        <v>R44b Slaný - Praha</v>
      </c>
      <c r="H4" s="12" t="str">
        <f>IF('Pořízení a provozuschopnost ŽKV'!H4&lt;&gt;"",'Pořízení a provozuschopnost ŽKV'!H4,"---")</f>
        <v>S43 Kladno - Ml. Boleslav</v>
      </c>
      <c r="I4" s="12" t="str">
        <f>IF('Pořízení a provozuschopnost ŽKV'!I4&lt;&gt;"",'Pořízení a provozuschopnost ŽKV'!I4,"---")</f>
        <v>R44c Velvary - Praha</v>
      </c>
      <c r="J4" s="12" t="str">
        <f>IF('Pořízení a provozuschopnost ŽKV'!J4&lt;&gt;"",'Pořízení a provozuschopnost ŽKV'!J4,"---")</f>
        <v>R44a Praha - Roudnice</v>
      </c>
      <c r="K4" s="12" t="str">
        <f>IF('Pořízení a provozuschopnost ŽKV'!K4&lt;&gt;"",'Pořízení a provozuschopnost ŽKV'!K4,"---")</f>
        <v>Neratovice E</v>
      </c>
      <c r="L4" s="12" t="str">
        <f>IF('Pořízení a provozuschopnost ŽKV'!L4&lt;&gt;"",'Pořízení a provozuschopnost ŽKV'!L4,"---")</f>
        <v>Nex LB-PB</v>
      </c>
      <c r="M4" s="12" t="str">
        <f>IF('Pořízení a provozuschopnost ŽKV'!M4&lt;&gt;"",'Pořízení a provozuschopnost ŽKV'!M4,"---")</f>
        <v>---</v>
      </c>
      <c r="N4" s="12" t="str">
        <f>IF('Pořízení a provozuschopnost ŽKV'!N4&lt;&gt;"",'Pořízení a provozuschopnost ŽKV'!N4,"---")</f>
        <v>---</v>
      </c>
      <c r="O4" s="12" t="str">
        <f>IF('Pořízení a provozuschopnost ŽKV'!O4&lt;&gt;"",'Pořízení a provozuschopnost ŽKV'!O4,"---")</f>
        <v>---</v>
      </c>
      <c r="P4" s="12" t="str">
        <f>IF('Pořízení a provozuschopnost ŽKV'!P4&lt;&gt;"",'Pořízení a provozuschopnost ŽKV'!P4,"---")</f>
        <v>---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5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osobní</v>
      </c>
      <c r="I5" s="17" t="str">
        <f>'Parametry jízdy vlaku'!I5</f>
        <v>osobní</v>
      </c>
      <c r="J5" s="17" t="str">
        <f>'Parametry jízdy vlaku'!J5</f>
        <v>osobní</v>
      </c>
      <c r="K5" s="17" t="str">
        <f>'Parametry jízdy vlaku'!K5</f>
        <v>nákladní</v>
      </c>
      <c r="L5" s="17" t="str">
        <f>'Parametry jízdy vlaku'!L5</f>
        <v>nákladní</v>
      </c>
      <c r="M5" s="17">
        <f>'Parametry jízdy vlaku'!M5</f>
        <v>0</v>
      </c>
      <c r="N5" s="17">
        <f>'Parametry jízdy vlaku'!N5</f>
        <v>0</v>
      </c>
      <c r="O5" s="17">
        <f>'Parametry jízdy vlaku'!O5</f>
        <v>0</v>
      </c>
      <c r="P5" s="17">
        <f>'Parametry jízdy vlaku'!P5</f>
        <v>0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5">
      <c r="B6" s="19" t="s">
        <v>10</v>
      </c>
      <c r="C6" s="20"/>
      <c r="D6" s="16"/>
      <c r="E6" s="17" t="str">
        <f>'Parametry jízdy vlaku'!E6</f>
        <v>el.ss</v>
      </c>
      <c r="F6" s="17" t="str">
        <f>'Parametry jízdy vlaku'!F6</f>
        <v>motorová</v>
      </c>
      <c r="G6" s="17" t="str">
        <f>'Parametry jízdy vlaku'!G6</f>
        <v>el.ss</v>
      </c>
      <c r="H6" s="17" t="str">
        <f>'Parametry jízdy vlaku'!H6</f>
        <v>el.ss</v>
      </c>
      <c r="I6" s="17" t="str">
        <f>'Parametry jízdy vlaku'!I6</f>
        <v>el.ss</v>
      </c>
      <c r="J6" s="17" t="str">
        <f>'Parametry jízdy vlaku'!J6</f>
        <v>el.ss</v>
      </c>
      <c r="K6" s="17" t="str">
        <f>'Parametry jízdy vlaku'!K6</f>
        <v>el.stř</v>
      </c>
      <c r="L6" s="17" t="str">
        <f>'Parametry jízdy vlaku'!L6</f>
        <v>el.stř</v>
      </c>
      <c r="M6" s="17">
        <f>'Parametry jízdy vlaku'!M6</f>
        <v>0</v>
      </c>
      <c r="N6" s="17">
        <f>'Parametry jízdy vlaku'!N6</f>
        <v>0</v>
      </c>
      <c r="O6" s="17">
        <f>'Parametry jízdy vlaku'!O6</f>
        <v>0</v>
      </c>
      <c r="P6" s="17">
        <f>'Parametry jízdy vlaku'!P6</f>
        <v>0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5">
      <c r="B7" s="21" t="s">
        <v>11</v>
      </c>
      <c r="C7" s="22"/>
      <c r="D7" s="23" t="s">
        <v>13</v>
      </c>
      <c r="E7" s="24">
        <f>'Parametry jízdy vlaku'!E8</f>
        <v>237</v>
      </c>
      <c r="F7" s="24">
        <f>'Parametry jízdy vlaku'!F8</f>
        <v>48.5</v>
      </c>
      <c r="G7" s="24">
        <f>'Parametry jízdy vlaku'!G8</f>
        <v>106</v>
      </c>
      <c r="H7" s="24">
        <f>'Parametry jízdy vlaku'!H8</f>
        <v>106</v>
      </c>
      <c r="I7" s="24">
        <f>'Parametry jízdy vlaku'!I8</f>
        <v>106</v>
      </c>
      <c r="J7" s="24">
        <f>'Parametry jízdy vlaku'!J8</f>
        <v>237</v>
      </c>
      <c r="K7" s="24">
        <f>'Parametry jízdy vlaku'!K8</f>
        <v>1000</v>
      </c>
      <c r="L7" s="24">
        <f>'Parametry jízdy vlaku'!L8</f>
        <v>1600</v>
      </c>
      <c r="M7" s="24">
        <f>'Parametry jízdy vlaku'!M8</f>
        <v>0</v>
      </c>
      <c r="N7" s="24">
        <f>'Parametry jízdy vlaku'!N8</f>
        <v>0</v>
      </c>
      <c r="O7" s="24">
        <f>'Parametry jízdy vlaku'!O8</f>
        <v>0</v>
      </c>
      <c r="P7" s="24">
        <f>'Parametry jízdy vlaku'!P8</f>
        <v>0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" thickBot="1" x14ac:dyDescent="0.3">
      <c r="B8" s="26" t="s">
        <v>374</v>
      </c>
      <c r="C8" s="27"/>
      <c r="D8" s="28" t="s">
        <v>14</v>
      </c>
      <c r="E8" s="29">
        <f>'Parametry jízdy vlaku'!E34</f>
        <v>27</v>
      </c>
      <c r="F8" s="29">
        <f>'Parametry jízdy vlaku'!F34</f>
        <v>20</v>
      </c>
      <c r="G8" s="29">
        <f>'Parametry jízdy vlaku'!G34</f>
        <v>47</v>
      </c>
      <c r="H8" s="29">
        <f>'Parametry jízdy vlaku'!H34</f>
        <v>80</v>
      </c>
      <c r="I8" s="29">
        <f>'Parametry jízdy vlaku'!I34</f>
        <v>22</v>
      </c>
      <c r="J8" s="29">
        <f>'Parametry jízdy vlaku'!J34</f>
        <v>66</v>
      </c>
      <c r="K8" s="29">
        <f>'Parametry jízdy vlaku'!K34</f>
        <v>1</v>
      </c>
      <c r="L8" s="29">
        <f>'Parametry jízdy vlaku'!L34</f>
        <v>1</v>
      </c>
      <c r="M8" s="29">
        <f>'Parametry jízdy vlaku'!M34</f>
        <v>0</v>
      </c>
      <c r="N8" s="29">
        <f>'Parametry jízdy vlaku'!N34</f>
        <v>0</v>
      </c>
      <c r="O8" s="29">
        <f>'Parametry jízdy vlaku'!O34</f>
        <v>0</v>
      </c>
      <c r="P8" s="29">
        <f>'Parametry jízdy vlaku'!P34</f>
        <v>0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5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35">
      <c r="B10" s="1" t="s">
        <v>282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4.5" thickBot="1" x14ac:dyDescent="0.3">
      <c r="B11" s="544" t="s">
        <v>48</v>
      </c>
      <c r="C11" s="545"/>
      <c r="D11" s="545"/>
      <c r="E11" s="36" t="str">
        <f>E4</f>
        <v>S4 Praha - Kralupy</v>
      </c>
      <c r="F11" s="37" t="str">
        <f t="shared" ref="F11:X11" si="0">F4</f>
        <v>S40 Slaný - Kralupy</v>
      </c>
      <c r="G11" s="37" t="str">
        <f t="shared" si="0"/>
        <v>R44b Slaný - Praha</v>
      </c>
      <c r="H11" s="37" t="str">
        <f t="shared" si="0"/>
        <v>S43 Kladno - Ml. Boleslav</v>
      </c>
      <c r="I11" s="37" t="str">
        <f t="shared" si="0"/>
        <v>R44c Velvary - Praha</v>
      </c>
      <c r="J11" s="37" t="str">
        <f t="shared" si="0"/>
        <v>R44a Praha - Roudnice</v>
      </c>
      <c r="K11" s="37" t="str">
        <f t="shared" si="0"/>
        <v>Neratovice E</v>
      </c>
      <c r="L11" s="37" t="str">
        <f t="shared" si="0"/>
        <v>Nex LB-PB</v>
      </c>
      <c r="M11" s="37" t="str">
        <f t="shared" si="0"/>
        <v>---</v>
      </c>
      <c r="N11" s="37" t="str">
        <f t="shared" si="0"/>
        <v>---</v>
      </c>
      <c r="O11" s="37" t="str">
        <f t="shared" si="0"/>
        <v>---</v>
      </c>
      <c r="P11" s="37" t="str">
        <f t="shared" si="0"/>
        <v>---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5">
      <c r="B12" s="39" t="s">
        <v>12</v>
      </c>
      <c r="C12" s="40"/>
      <c r="D12" s="41" t="s">
        <v>16</v>
      </c>
      <c r="E12" s="42">
        <f>IF(ISNUMBER('Parametry jízdy vlaku'!E20),'Parametry jízdy vlaku'!E20,"-")</f>
        <v>494.1216</v>
      </c>
      <c r="F12" s="42">
        <f>IF(ISNUMBER('Parametry jízdy vlaku'!F20),'Parametry jízdy vlaku'!F20,"-")</f>
        <v>128.22599999999997</v>
      </c>
      <c r="G12" s="42">
        <f>IF(ISNUMBER('Parametry jízdy vlaku'!G20),'Parametry jízdy vlaku'!G20,"-")</f>
        <v>563.7213999999999</v>
      </c>
      <c r="H12" s="42">
        <f>IF(ISNUMBER('Parametry jízdy vlaku'!H20),'Parametry jízdy vlaku'!H20,"-")</f>
        <v>856.36434999999983</v>
      </c>
      <c r="I12" s="42">
        <f>IF(ISNUMBER('Parametry jízdy vlaku'!I20),'Parametry jízdy vlaku'!I20,"-")</f>
        <v>260.54989999999998</v>
      </c>
      <c r="J12" s="42">
        <f>IF(ISNUMBER('Parametry jízdy vlaku'!J20),'Parametry jízdy vlaku'!J20,"-")</f>
        <v>1207.8528000000001</v>
      </c>
      <c r="K12" s="42">
        <f>IF(ISNUMBER('Parametry jízdy vlaku'!K20),'Parametry jízdy vlaku'!K20,"-")</f>
        <v>66.701599999999999</v>
      </c>
      <c r="L12" s="42">
        <f>IF(ISNUMBER('Parametry jízdy vlaku'!L20),'Parametry jízdy vlaku'!L20,"-")</f>
        <v>117.7512</v>
      </c>
      <c r="M12" s="42" t="str">
        <f>IF(ISNUMBER('Parametry jízdy vlaku'!M20),'Parametry jízdy vlaku'!M20,"-")</f>
        <v>-</v>
      </c>
      <c r="N12" s="42" t="str">
        <f>IF(ISNUMBER('Parametry jízdy vlaku'!N20),'Parametry jízdy vlaku'!N20,"-")</f>
        <v>-</v>
      </c>
      <c r="O12" s="42" t="str">
        <f>IF(ISNUMBER('Parametry jízdy vlaku'!O20),'Parametry jízdy vlaku'!O20,"-")</f>
        <v>-</v>
      </c>
      <c r="P12" s="42" t="str">
        <f>IF(ISNUMBER('Parametry jízdy vlaku'!P20),'Parametry jízdy vlaku'!P20,"-")</f>
        <v>-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" thickBot="1" x14ac:dyDescent="0.3">
      <c r="B13" s="26" t="s">
        <v>146</v>
      </c>
      <c r="C13" s="27"/>
      <c r="D13" s="28" t="s">
        <v>155</v>
      </c>
      <c r="E13" s="44">
        <f>IF(ISNUMBER('Parametry jízdy vlaku'!E21),'Parametry jízdy vlaku'!E21,"-")</f>
        <v>18.300799999999999</v>
      </c>
      <c r="F13" s="44">
        <f>IF(ISNUMBER('Parametry jízdy vlaku'!F21),'Parametry jízdy vlaku'!F21,"-")</f>
        <v>6.4112999999999989</v>
      </c>
      <c r="G13" s="44">
        <f>IF(ISNUMBER('Parametry jízdy vlaku'!G21),'Parametry jízdy vlaku'!G21,"-")</f>
        <v>11.99407234042553</v>
      </c>
      <c r="H13" s="44">
        <f>IF(ISNUMBER('Parametry jízdy vlaku'!H21),'Parametry jízdy vlaku'!H21,"-")</f>
        <v>10.704554374999997</v>
      </c>
      <c r="I13" s="44">
        <f>IF(ISNUMBER('Parametry jízdy vlaku'!I21),'Parametry jízdy vlaku'!I21,"-")</f>
        <v>11.843177272727273</v>
      </c>
      <c r="J13" s="44">
        <f>IF(ISNUMBER('Parametry jízdy vlaku'!J21),'Parametry jízdy vlaku'!J21,"-")</f>
        <v>18.300800000000002</v>
      </c>
      <c r="K13" s="44">
        <f>IF(ISNUMBER('Parametry jízdy vlaku'!K21),'Parametry jízdy vlaku'!K21,"-")</f>
        <v>66.701599999999999</v>
      </c>
      <c r="L13" s="44">
        <f>IF(ISNUMBER('Parametry jízdy vlaku'!L21),'Parametry jízdy vlaku'!L21,"-")</f>
        <v>117.7512</v>
      </c>
      <c r="M13" s="44" t="str">
        <f>IF(ISNUMBER('Parametry jízdy vlaku'!M21),'Parametry jízdy vlaku'!M21,"-")</f>
        <v>-</v>
      </c>
      <c r="N13" s="44" t="str">
        <f>IF(ISNUMBER('Parametry jízdy vlaku'!N21),'Parametry jízdy vlaku'!N21,"-")</f>
        <v>-</v>
      </c>
      <c r="O13" s="44" t="str">
        <f>IF(ISNUMBER('Parametry jízdy vlaku'!O21),'Parametry jízdy vlaku'!O21,"-")</f>
        <v>-</v>
      </c>
      <c r="P13" s="44" t="str">
        <f>IF(ISNUMBER('Parametry jízdy vlaku'!P21),'Parametry jízdy vlaku'!P21,"-")</f>
        <v>-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35">
      <c r="B15" s="1" t="s">
        <v>283</v>
      </c>
    </row>
    <row r="16" spans="1:24" ht="15.75" customHeight="1" thickBot="1" x14ac:dyDescent="0.3">
      <c r="B16" s="546" t="s">
        <v>223</v>
      </c>
      <c r="C16" s="547"/>
      <c r="D16" s="547"/>
      <c r="E16" s="45" t="str">
        <f>E4</f>
        <v>S4 Praha - Kralupy</v>
      </c>
      <c r="F16" s="45" t="str">
        <f t="shared" ref="F16:X16" si="1">F4</f>
        <v>S40 Slaný - Kralupy</v>
      </c>
      <c r="G16" s="45" t="str">
        <f t="shared" si="1"/>
        <v>R44b Slaný - Praha</v>
      </c>
      <c r="H16" s="45" t="str">
        <f t="shared" si="1"/>
        <v>S43 Kladno - Ml. Boleslav</v>
      </c>
      <c r="I16" s="45" t="str">
        <f t="shared" si="1"/>
        <v>R44c Velvary - Praha</v>
      </c>
      <c r="J16" s="45" t="str">
        <f t="shared" si="1"/>
        <v>R44a Praha - Roudnice</v>
      </c>
      <c r="K16" s="45" t="str">
        <f t="shared" si="1"/>
        <v>Neratovice E</v>
      </c>
      <c r="L16" s="45" t="str">
        <f t="shared" si="1"/>
        <v>Nex LB-PB</v>
      </c>
      <c r="M16" s="45" t="str">
        <f t="shared" si="1"/>
        <v>---</v>
      </c>
      <c r="N16" s="45" t="str">
        <f t="shared" si="1"/>
        <v>---</v>
      </c>
      <c r="O16" s="45" t="str">
        <f t="shared" si="1"/>
        <v>---</v>
      </c>
      <c r="P16" s="45" t="str">
        <f t="shared" si="1"/>
        <v>---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" x14ac:dyDescent="0.3">
      <c r="B17" s="47" t="s">
        <v>0</v>
      </c>
      <c r="C17" s="48"/>
      <c r="D17" s="49" t="s">
        <v>152</v>
      </c>
      <c r="E17" s="42">
        <f>IF('Pořízení a provozuschopnost ŽKV'!E47&gt;0,'Pořízení a provozuschopnost ŽKV'!E47,"-")</f>
        <v>2324.4281906650963</v>
      </c>
      <c r="F17" s="42">
        <f>IF('Pořízení a provozuschopnost ŽKV'!F47&gt;0,'Pořízení a provozuschopnost ŽKV'!F47,"-")</f>
        <v>652.31572080887145</v>
      </c>
      <c r="G17" s="42">
        <f>IF('Pořízení a provozuschopnost ŽKV'!G47&gt;0,'Pořízení a provozuschopnost ŽKV'!G47,"-")</f>
        <v>2389.2959541255173</v>
      </c>
      <c r="H17" s="42">
        <f>IF('Pořízení a provozuschopnost ŽKV'!H47&gt;0,'Pořízení a provozuschopnost ŽKV'!H47,"-")</f>
        <v>1113.7097672346588</v>
      </c>
      <c r="I17" s="42">
        <f>IF('Pořízení a provozuschopnost ŽKV'!I47&gt;0,'Pořízení a provozuschopnost ŽKV'!I47,"-")</f>
        <v>1358.5418317672361</v>
      </c>
      <c r="J17" s="42">
        <f>IF('Pořízení a provozuschopnost ŽKV'!J47&gt;0,'Pořízení a provozuschopnost ŽKV'!J47,"-")</f>
        <v>1783.6757990867579</v>
      </c>
      <c r="K17" s="42">
        <f>IF('Pořízení a provozuschopnost ŽKV'!K47&gt;0,'Pořízení a provozuschopnost ŽKV'!K47,"-")</f>
        <v>1046.4231354642313</v>
      </c>
      <c r="L17" s="42">
        <f>IF('Pořízení a provozuschopnost ŽKV'!L47&gt;0,'Pořízení a provozuschopnost ŽKV'!L47,"-")</f>
        <v>837.13850837138523</v>
      </c>
      <c r="M17" s="42" t="str">
        <f>IF('Pořízení a provozuschopnost ŽKV'!M47&gt;0,'Pořízení a provozuschopnost ŽKV'!M47,"-")</f>
        <v>-</v>
      </c>
      <c r="N17" s="42" t="str">
        <f>IF('Pořízení a provozuschopnost ŽKV'!N47&gt;0,'Pořízení a provozuschopnost ŽKV'!N47,"-")</f>
        <v>-</v>
      </c>
      <c r="O17" s="42" t="str">
        <f>IF('Pořízení a provozuschopnost ŽKV'!O47&gt;0,'Pořízení a provozuschopnost ŽKV'!O47,"-")</f>
        <v>-</v>
      </c>
      <c r="P17" s="42" t="str">
        <f>IF('Pořízení a provozuschopnost ŽKV'!P47&gt;0,'Pořízení a provozuschopnost ŽKV'!P47,"-")</f>
        <v>-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" x14ac:dyDescent="0.3">
      <c r="B18" s="50" t="s">
        <v>154</v>
      </c>
      <c r="C18" s="22"/>
      <c r="D18" s="51" t="s">
        <v>152</v>
      </c>
      <c r="E18" s="52">
        <f>IF('Pořízení a provozuschopnost ŽKV'!E46&gt;0,'Pořízení a provozuschopnost ŽKV'!E46,"-")</f>
        <v>2091.9853715985869</v>
      </c>
      <c r="F18" s="52">
        <f>IF('Pořízení a provozuschopnost ŽKV'!F46&gt;0,'Pořízení a provozuschopnost ŽKV'!F46,"-")</f>
        <v>587.08414872798426</v>
      </c>
      <c r="G18" s="52">
        <f>IF('Pořízení a provozuschopnost ŽKV'!G46&gt;0,'Pořízení a provozuschopnost ŽKV'!G46,"-")</f>
        <v>2150.3663587129658</v>
      </c>
      <c r="H18" s="52">
        <f>IF('Pořízení a provozuschopnost ŽKV'!H46&gt;0,'Pořízení a provozuschopnost ŽKV'!H46,"-")</f>
        <v>1002.3387905111928</v>
      </c>
      <c r="I18" s="52">
        <f>IF('Pořízení a provozuschopnost ŽKV'!I46&gt;0,'Pořízení a provozuschopnost ŽKV'!I46,"-")</f>
        <v>1222.6876485905127</v>
      </c>
      <c r="J18" s="52">
        <f>IF('Pořízení a provozuschopnost ŽKV'!J46&gt;0,'Pořízení a provozuschopnost ŽKV'!J46,"-")</f>
        <v>1605.308219178082</v>
      </c>
      <c r="K18" s="52">
        <f>IF('Pořízení a provozuschopnost ŽKV'!K46&gt;0,'Pořízení a provozuschopnost ŽKV'!K46,"-")</f>
        <v>941.78082191780811</v>
      </c>
      <c r="L18" s="52">
        <f>IF('Pořízení a provozuschopnost ŽKV'!L46&gt;0,'Pořízení a provozuschopnost ŽKV'!L46,"-")</f>
        <v>753.42465753424653</v>
      </c>
      <c r="M18" s="52" t="str">
        <f>IF('Pořízení a provozuschopnost ŽKV'!M46&gt;0,'Pořízení a provozuschopnost ŽKV'!M46,"-")</f>
        <v>-</v>
      </c>
      <c r="N18" s="52" t="str">
        <f>IF('Pořízení a provozuschopnost ŽKV'!N46&gt;0,'Pořízení a provozuschopnost ŽKV'!N46,"-")</f>
        <v>-</v>
      </c>
      <c r="O18" s="52" t="str">
        <f>IF('Pořízení a provozuschopnost ŽKV'!O46&gt;0,'Pořízení a provozuschopnost ŽKV'!O46,"-")</f>
        <v>-</v>
      </c>
      <c r="P18" s="52" t="str">
        <f>IF('Pořízení a provozuschopnost ŽKV'!P46&gt;0,'Pořízení a provozuschopnost ŽKV'!P46,"-")</f>
        <v>-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" x14ac:dyDescent="0.3">
      <c r="B19" s="50" t="s">
        <v>153</v>
      </c>
      <c r="C19" s="22"/>
      <c r="D19" s="51" t="s">
        <v>155</v>
      </c>
      <c r="E19" s="52">
        <f>IF(ISNUMBER('Parametry jízdy vlaku'!E37/'Parametry jízdy vlaku'!E34),'Parametry jízdy vlaku'!E37/'Parametry jízdy vlaku'!E34,"-")</f>
        <v>41.741850150000012</v>
      </c>
      <c r="F19" s="52">
        <f>IF(ISNUMBER('Parametry jízdy vlaku'!F37/'Parametry jízdy vlaku'!F34),'Parametry jízdy vlaku'!F37/'Parametry jízdy vlaku'!F34,"-")</f>
        <v>26.771973228000007</v>
      </c>
      <c r="G19" s="52">
        <f>IF(ISNUMBER('Parametry jízdy vlaku'!G37/'Parametry jízdy vlaku'!G34),'Parametry jízdy vlaku'!G37/'Parametry jízdy vlaku'!G34,"-")</f>
        <v>18.956571480000004</v>
      </c>
      <c r="H19" s="52">
        <f>IF(ISNUMBER('Parametry jízdy vlaku'!H37/'Parametry jízdy vlaku'!H34),'Parametry jízdy vlaku'!H37/'Parametry jízdy vlaku'!H34,"-")</f>
        <v>18.482657193000001</v>
      </c>
      <c r="I19" s="52">
        <f>IF(ISNUMBER('Parametry jízdy vlaku'!I37/'Parametry jízdy vlaku'!I34),'Parametry jízdy vlaku'!I37/'Parametry jízdy vlaku'!I34,"-")</f>
        <v>22.403220840000003</v>
      </c>
      <c r="J19" s="52">
        <f>IF(ISNUMBER('Parametry jízdy vlaku'!J37/'Parametry jízdy vlaku'!J34),'Parametry jízdy vlaku'!J37/'Parametry jízdy vlaku'!J34,"-")</f>
        <v>35.320027050000007</v>
      </c>
      <c r="K19" s="52">
        <f>IF(ISNUMBER('Parametry jízdy vlaku'!K37/'Parametry jízdy vlaku'!K34),'Parametry jízdy vlaku'!K37/'Parametry jízdy vlaku'!K34,"-")</f>
        <v>74.12605200000003</v>
      </c>
      <c r="L19" s="52">
        <f>IF(ISNUMBER('Parametry jízdy vlaku'!L37/'Parametry jízdy vlaku'!L34),'Parametry jízdy vlaku'!L37/'Parametry jízdy vlaku'!L34,"-")</f>
        <v>107.81971200000002</v>
      </c>
      <c r="M19" s="52" t="str">
        <f>IF(ISNUMBER('Parametry jízdy vlaku'!M37/'Parametry jízdy vlaku'!M34),'Parametry jízdy vlaku'!M37/'Parametry jízdy vlaku'!M34,"-")</f>
        <v>-</v>
      </c>
      <c r="N19" s="52" t="str">
        <f>IF(ISNUMBER('Parametry jízdy vlaku'!N37/'Parametry jízdy vlaku'!N34),'Parametry jízdy vlaku'!N37/'Parametry jízdy vlaku'!N34,"-")</f>
        <v>-</v>
      </c>
      <c r="O19" s="52" t="str">
        <f>IF(ISNUMBER('Parametry jízdy vlaku'!O37/'Parametry jízdy vlaku'!O34),'Parametry jízdy vlaku'!O37/'Parametry jízdy vlaku'!O34,"-")</f>
        <v>-</v>
      </c>
      <c r="P19" s="52" t="str">
        <f>IF(ISNUMBER('Parametry jízdy vlaku'!P37/'Parametry jízdy vlaku'!P34),'Parametry jízdy vlaku'!P37/'Parametry jízdy vlaku'!P34,"-")</f>
        <v>-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" x14ac:dyDescent="0.3">
      <c r="B20" s="50" t="s">
        <v>49</v>
      </c>
      <c r="C20" s="22"/>
      <c r="D20" s="51" t="s">
        <v>152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505.4671428571429</v>
      </c>
      <c r="G20" s="52">
        <f>IF('Obsazení vlaku personálem'!F20&gt;0,'Obsazení vlaku personálem'!F20,"-")</f>
        <v>908.95755102040823</v>
      </c>
      <c r="H20" s="52">
        <f>IF('Obsazení vlaku personálem'!G20&gt;0,'Obsazení vlaku personálem'!G20,"-")</f>
        <v>505.4671428571429</v>
      </c>
      <c r="I20" s="52">
        <f>IF('Obsazení vlaku personálem'!H20&gt;0,'Obsazení vlaku personálem'!H20,"-")</f>
        <v>908.95755102040823</v>
      </c>
      <c r="J20" s="52">
        <f>IF('Obsazení vlaku personálem'!I20&gt;0,'Obsazení vlaku personálem'!I20,"-")</f>
        <v>908.95755102040823</v>
      </c>
      <c r="K20" s="52">
        <f>IF('Obsazení vlaku personálem'!J20&gt;0,'Obsazení vlaku personálem'!J20,"-")</f>
        <v>707.65400000000011</v>
      </c>
      <c r="L20" s="52">
        <f>IF('Obsazení vlaku personálem'!K20&gt;0,'Obsazení vlaku personálem'!K20,"-")</f>
        <v>707.65400000000011</v>
      </c>
      <c r="M20" s="52" t="str">
        <f>IF('Obsazení vlaku personálem'!L20&gt;0,'Obsazení vlaku personálem'!L20,"-")</f>
        <v>-</v>
      </c>
      <c r="N20" s="52" t="str">
        <f>IF('Obsazení vlaku personálem'!M20&gt;0,'Obsazení vlaku personálem'!M20,"-")</f>
        <v>-</v>
      </c>
      <c r="O20" s="52" t="str">
        <f>IF('Obsazení vlaku personálem'!N20&gt;0,'Obsazení vlaku personálem'!N20,"-")</f>
        <v>-</v>
      </c>
      <c r="P20" s="52" t="str">
        <f>IF('Obsazení vlaku personálem'!O20&gt;0,'Obsazení vlaku personálem'!O20,"-")</f>
        <v>-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4.5" thickBot="1" x14ac:dyDescent="0.35">
      <c r="B21" s="54" t="s">
        <v>52</v>
      </c>
      <c r="C21" s="405">
        <v>75</v>
      </c>
      <c r="D21" s="55" t="s">
        <v>152</v>
      </c>
      <c r="E21" s="56">
        <f>IF(E20="-","-",E20*$C$21/100)</f>
        <v>681.7181632653062</v>
      </c>
      <c r="F21" s="56">
        <f t="shared" ref="F21:K21" si="2">IF(F20="-","-",F20*$C$21/100)</f>
        <v>379.10035714285715</v>
      </c>
      <c r="G21" s="56">
        <f t="shared" si="2"/>
        <v>681.7181632653062</v>
      </c>
      <c r="H21" s="56">
        <f t="shared" si="2"/>
        <v>379.10035714285715</v>
      </c>
      <c r="I21" s="56">
        <f t="shared" si="2"/>
        <v>681.7181632653062</v>
      </c>
      <c r="J21" s="56">
        <f t="shared" si="2"/>
        <v>681.7181632653062</v>
      </c>
      <c r="K21" s="56">
        <f t="shared" si="2"/>
        <v>530.74050000000011</v>
      </c>
      <c r="L21" s="56">
        <f t="shared" ref="L21:X21" si="3">IF(L20="-","-",L20*$C$21/100)</f>
        <v>530.74050000000011</v>
      </c>
      <c r="M21" s="56" t="str">
        <f t="shared" si="3"/>
        <v>-</v>
      </c>
      <c r="N21" s="56" t="str">
        <f t="shared" si="3"/>
        <v>-</v>
      </c>
      <c r="O21" s="56" t="str">
        <f t="shared" si="3"/>
        <v>-</v>
      </c>
      <c r="P21" s="56" t="str">
        <f t="shared" si="3"/>
        <v>-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4" x14ac:dyDescent="0.3">
      <c r="B22" s="58" t="s">
        <v>303</v>
      </c>
      <c r="C22" s="59"/>
      <c r="D22" s="60" t="s">
        <v>152</v>
      </c>
      <c r="E22" s="101">
        <f t="shared" ref="E22:X22" si="4">IF(ISNUMBER(E17+E18+E20+E21),(E17+E18+E20+E21),"-")</f>
        <v>6007.0892765493982</v>
      </c>
      <c r="F22" s="101">
        <f t="shared" si="4"/>
        <v>2123.967369536856</v>
      </c>
      <c r="G22" s="101">
        <f t="shared" si="4"/>
        <v>6130.3380271241986</v>
      </c>
      <c r="H22" s="101">
        <f t="shared" si="4"/>
        <v>3000.6160577458518</v>
      </c>
      <c r="I22" s="101">
        <f t="shared" si="4"/>
        <v>4171.9051946434629</v>
      </c>
      <c r="J22" s="101">
        <f t="shared" si="4"/>
        <v>4979.6597325505545</v>
      </c>
      <c r="K22" s="101">
        <f t="shared" si="4"/>
        <v>3226.5984573820397</v>
      </c>
      <c r="L22" s="101">
        <f t="shared" si="4"/>
        <v>2828.957665905632</v>
      </c>
      <c r="M22" s="101" t="str">
        <f t="shared" si="4"/>
        <v>-</v>
      </c>
      <c r="N22" s="101" t="str">
        <f t="shared" si="4"/>
        <v>-</v>
      </c>
      <c r="O22" s="101" t="str">
        <f t="shared" si="4"/>
        <v>-</v>
      </c>
      <c r="P22" s="101" t="str">
        <f t="shared" si="4"/>
        <v>-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4.5" thickBot="1" x14ac:dyDescent="0.35">
      <c r="B23" s="61" t="s">
        <v>304</v>
      </c>
      <c r="C23" s="62"/>
      <c r="D23" s="63" t="s">
        <v>155</v>
      </c>
      <c r="E23" s="103">
        <f t="shared" ref="E23:X23" si="5">IF(ISNUMBER(E19),E19,"-")</f>
        <v>41.741850150000012</v>
      </c>
      <c r="F23" s="103">
        <f t="shared" si="5"/>
        <v>26.771973228000007</v>
      </c>
      <c r="G23" s="103">
        <f t="shared" si="5"/>
        <v>18.956571480000004</v>
      </c>
      <c r="H23" s="103">
        <f t="shared" si="5"/>
        <v>18.482657193000001</v>
      </c>
      <c r="I23" s="103">
        <f t="shared" si="5"/>
        <v>22.403220840000003</v>
      </c>
      <c r="J23" s="103">
        <f t="shared" si="5"/>
        <v>35.320027050000007</v>
      </c>
      <c r="K23" s="103">
        <f t="shared" si="5"/>
        <v>74.12605200000003</v>
      </c>
      <c r="L23" s="103">
        <f t="shared" si="5"/>
        <v>107.81971200000002</v>
      </c>
      <c r="M23" s="103" t="str">
        <f t="shared" si="5"/>
        <v>-</v>
      </c>
      <c r="N23" s="103" t="str">
        <f t="shared" si="5"/>
        <v>-</v>
      </c>
      <c r="O23" s="103" t="str">
        <f t="shared" si="5"/>
        <v>-</v>
      </c>
      <c r="P23" s="103" t="str">
        <f t="shared" si="5"/>
        <v>-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5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ht="13" x14ac:dyDescent="0.3">
      <c r="B25" s="67" t="s">
        <v>380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5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35">
      <c r="B27" s="1" t="s">
        <v>284</v>
      </c>
      <c r="C27" s="64"/>
      <c r="D27" s="65"/>
    </row>
    <row r="28" spans="2:24" ht="15.75" customHeight="1" thickBot="1" x14ac:dyDescent="0.3">
      <c r="B28" s="546" t="s">
        <v>224</v>
      </c>
      <c r="C28" s="547"/>
      <c r="D28" s="547"/>
      <c r="E28" s="36" t="str">
        <f t="shared" ref="E28:X28" si="6">E4</f>
        <v>S4 Praha - Kralupy</v>
      </c>
      <c r="F28" s="37" t="str">
        <f t="shared" si="6"/>
        <v>S40 Slaný - Kralupy</v>
      </c>
      <c r="G28" s="37" t="str">
        <f t="shared" si="6"/>
        <v>R44b Slaný - Praha</v>
      </c>
      <c r="H28" s="37" t="str">
        <f t="shared" si="6"/>
        <v>S43 Kladno - Ml. Boleslav</v>
      </c>
      <c r="I28" s="37" t="str">
        <f t="shared" si="6"/>
        <v>R44c Velvary - Praha</v>
      </c>
      <c r="J28" s="37" t="str">
        <f t="shared" si="6"/>
        <v>R44a Praha - Roudnice</v>
      </c>
      <c r="K28" s="37" t="str">
        <f t="shared" si="6"/>
        <v>Neratovice E</v>
      </c>
      <c r="L28" s="37" t="str">
        <f t="shared" si="6"/>
        <v>Nex LB-PB</v>
      </c>
      <c r="M28" s="37" t="str">
        <f t="shared" si="6"/>
        <v>---</v>
      </c>
      <c r="N28" s="37" t="str">
        <f t="shared" si="6"/>
        <v>---</v>
      </c>
      <c r="O28" s="37" t="str">
        <f t="shared" si="6"/>
        <v>---</v>
      </c>
      <c r="P28" s="37" t="str">
        <f t="shared" si="6"/>
        <v>---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" x14ac:dyDescent="0.3">
      <c r="B29" s="47" t="s">
        <v>50</v>
      </c>
      <c r="C29" s="406">
        <v>15</v>
      </c>
      <c r="D29" s="49" t="s">
        <v>152</v>
      </c>
      <c r="E29" s="71">
        <f t="shared" ref="E29:X29" si="7">IF(ISNUMBER(((E23+E13)*E34+E22)*($C$29/100)),((E23+E13)*E34+E22)*($C$29/100),"-")</f>
        <v>1330.1917440250568</v>
      </c>
      <c r="F29" s="71">
        <f t="shared" si="7"/>
        <v>489.25193917452839</v>
      </c>
      <c r="G29" s="71">
        <f t="shared" si="7"/>
        <v>1122.5293449374669</v>
      </c>
      <c r="H29" s="71">
        <f t="shared" si="7"/>
        <v>655.11477284685338</v>
      </c>
      <c r="I29" s="71">
        <f t="shared" si="7"/>
        <v>817.69783410313096</v>
      </c>
      <c r="J29" s="71">
        <f t="shared" si="7"/>
        <v>1244.6172609403957</v>
      </c>
      <c r="K29" s="71">
        <f t="shared" si="7"/>
        <v>1434.576419607306</v>
      </c>
      <c r="L29" s="71">
        <f t="shared" si="7"/>
        <v>1946.947305885845</v>
      </c>
      <c r="M29" s="71" t="str">
        <f t="shared" si="7"/>
        <v>-</v>
      </c>
      <c r="N29" s="71" t="str">
        <f t="shared" si="7"/>
        <v>-</v>
      </c>
      <c r="O29" s="71" t="str">
        <f t="shared" si="7"/>
        <v>-</v>
      </c>
      <c r="P29" s="71" t="str">
        <f t="shared" si="7"/>
        <v>-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4.5" thickBot="1" x14ac:dyDescent="0.35">
      <c r="B30" s="72" t="s">
        <v>51</v>
      </c>
      <c r="C30" s="407">
        <v>5</v>
      </c>
      <c r="D30" s="28" t="s">
        <v>152</v>
      </c>
      <c r="E30" s="73">
        <f t="shared" ref="E30:X30" si="8">IF(ISNUMBER(((E23+E13)*E34+E22)*($C$30/100)),((E23+E13)*E34+E22)*($C$30/100),"-")</f>
        <v>443.39724800835234</v>
      </c>
      <c r="F30" s="73">
        <f t="shared" si="8"/>
        <v>163.08397972484283</v>
      </c>
      <c r="G30" s="73">
        <f t="shared" si="8"/>
        <v>374.17644831248901</v>
      </c>
      <c r="H30" s="73">
        <f t="shared" si="8"/>
        <v>218.37159094895117</v>
      </c>
      <c r="I30" s="73">
        <f t="shared" si="8"/>
        <v>272.56594470104363</v>
      </c>
      <c r="J30" s="73">
        <f t="shared" si="8"/>
        <v>414.87242031346523</v>
      </c>
      <c r="K30" s="73">
        <f t="shared" si="8"/>
        <v>478.19213986910199</v>
      </c>
      <c r="L30" s="73">
        <f t="shared" si="8"/>
        <v>648.98243529528179</v>
      </c>
      <c r="M30" s="73" t="str">
        <f t="shared" si="8"/>
        <v>-</v>
      </c>
      <c r="N30" s="73" t="str">
        <f t="shared" si="8"/>
        <v>-</v>
      </c>
      <c r="O30" s="73" t="str">
        <f t="shared" si="8"/>
        <v>-</v>
      </c>
      <c r="P30" s="73" t="str">
        <f t="shared" si="8"/>
        <v>-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35">
      <c r="B32" s="1" t="s">
        <v>285</v>
      </c>
    </row>
    <row r="33" spans="2:24" ht="14" x14ac:dyDescent="0.25">
      <c r="B33" s="548" t="s">
        <v>47</v>
      </c>
      <c r="C33" s="549"/>
      <c r="D33" s="549"/>
      <c r="E33" s="75" t="str">
        <f t="shared" ref="E33:X33" si="9">E4</f>
        <v>S4 Praha - Kralupy</v>
      </c>
      <c r="F33" s="76" t="str">
        <f t="shared" si="9"/>
        <v>S40 Slaný - Kralupy</v>
      </c>
      <c r="G33" s="76" t="str">
        <f t="shared" si="9"/>
        <v>R44b Slaný - Praha</v>
      </c>
      <c r="H33" s="76" t="str">
        <f t="shared" si="9"/>
        <v>S43 Kladno - Ml. Boleslav</v>
      </c>
      <c r="I33" s="76" t="str">
        <f t="shared" si="9"/>
        <v>R44c Velvary - Praha</v>
      </c>
      <c r="J33" s="76" t="str">
        <f t="shared" si="9"/>
        <v>R44a Praha - Roudnice</v>
      </c>
      <c r="K33" s="76" t="str">
        <f t="shared" si="9"/>
        <v>Neratovice E</v>
      </c>
      <c r="L33" s="76" t="str">
        <f t="shared" si="9"/>
        <v>Nex LB-PB</v>
      </c>
      <c r="M33" s="76" t="str">
        <f t="shared" si="9"/>
        <v>---</v>
      </c>
      <c r="N33" s="76" t="str">
        <f t="shared" si="9"/>
        <v>---</v>
      </c>
      <c r="O33" s="76" t="str">
        <f t="shared" si="9"/>
        <v>---</v>
      </c>
      <c r="P33" s="76" t="str">
        <f t="shared" si="9"/>
        <v>---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5">
      <c r="B34" s="78" t="s">
        <v>376</v>
      </c>
      <c r="C34" s="79"/>
      <c r="D34" s="80" t="s">
        <v>156</v>
      </c>
      <c r="E34" s="98">
        <v>47.647058823529413</v>
      </c>
      <c r="F34" s="98">
        <v>34.285714285714285</v>
      </c>
      <c r="G34" s="98">
        <v>43.720930232558139</v>
      </c>
      <c r="H34" s="98">
        <v>46.829268292682926</v>
      </c>
      <c r="I34" s="98">
        <v>37.359073359073356</v>
      </c>
      <c r="J34" s="98">
        <v>61.875</v>
      </c>
      <c r="K34" s="471">
        <v>45</v>
      </c>
      <c r="L34" s="471">
        <v>45</v>
      </c>
      <c r="M34" s="471">
        <v>65</v>
      </c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5">
      <c r="B35" s="81" t="s">
        <v>378</v>
      </c>
      <c r="C35" s="22"/>
      <c r="D35" s="82" t="s">
        <v>152</v>
      </c>
      <c r="E35" s="83">
        <f t="shared" ref="E35:X35" si="10">IF(ISNUMBER(E30+E29+E21+E20+E18+E17),E30+E29+E21+E20+E18+E17,"-")</f>
        <v>7780.6782685828057</v>
      </c>
      <c r="F35" s="83">
        <f t="shared" si="10"/>
        <v>2776.3032884362274</v>
      </c>
      <c r="G35" s="83">
        <f t="shared" si="10"/>
        <v>7627.0438203741523</v>
      </c>
      <c r="H35" s="83">
        <f t="shared" si="10"/>
        <v>3874.1024215416564</v>
      </c>
      <c r="I35" s="83">
        <f t="shared" si="10"/>
        <v>5262.1689734476377</v>
      </c>
      <c r="J35" s="83">
        <f t="shared" si="10"/>
        <v>6639.1494138044154</v>
      </c>
      <c r="K35" s="83">
        <f t="shared" si="10"/>
        <v>5139.3670168584476</v>
      </c>
      <c r="L35" s="83">
        <f t="shared" si="10"/>
        <v>5424.8874070867578</v>
      </c>
      <c r="M35" s="83" t="str">
        <f t="shared" si="10"/>
        <v>-</v>
      </c>
      <c r="N35" s="83" t="str">
        <f t="shared" si="10"/>
        <v>-</v>
      </c>
      <c r="O35" s="83" t="str">
        <f t="shared" si="10"/>
        <v>-</v>
      </c>
      <c r="P35" s="83" t="str">
        <f t="shared" si="10"/>
        <v>-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5" customHeight="1" thickBot="1" x14ac:dyDescent="0.3">
      <c r="B36" s="85" t="s">
        <v>379</v>
      </c>
      <c r="C36" s="86"/>
      <c r="D36" s="87" t="s">
        <v>155</v>
      </c>
      <c r="E36" s="88">
        <f t="shared" ref="E36:X36" si="11">IF(ISNUMBER(E19+E13),(E19+E13),"-")</f>
        <v>60.042650150000014</v>
      </c>
      <c r="F36" s="88">
        <f t="shared" si="11"/>
        <v>33.183273228000004</v>
      </c>
      <c r="G36" s="88">
        <f t="shared" si="11"/>
        <v>30.950643820425533</v>
      </c>
      <c r="H36" s="88">
        <f t="shared" si="11"/>
        <v>29.187211567999999</v>
      </c>
      <c r="I36" s="88">
        <f t="shared" si="11"/>
        <v>34.246398112727277</v>
      </c>
      <c r="J36" s="88">
        <f t="shared" si="11"/>
        <v>53.62082705000001</v>
      </c>
      <c r="K36" s="88">
        <f t="shared" si="11"/>
        <v>140.82765200000003</v>
      </c>
      <c r="L36" s="88">
        <f t="shared" si="11"/>
        <v>225.57091200000002</v>
      </c>
      <c r="M36" s="88" t="str">
        <f t="shared" si="11"/>
        <v>-</v>
      </c>
      <c r="N36" s="88" t="str">
        <f t="shared" si="11"/>
        <v>-</v>
      </c>
      <c r="O36" s="88" t="str">
        <f t="shared" si="11"/>
        <v>-</v>
      </c>
      <c r="P36" s="88" t="str">
        <f t="shared" si="11"/>
        <v>-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5">
      <c r="B37" s="90" t="s">
        <v>309</v>
      </c>
      <c r="C37" s="91"/>
      <c r="D37" s="92" t="s">
        <v>152</v>
      </c>
      <c r="E37" s="93">
        <f t="shared" ref="E37:X37" si="12">IF(ISNUMBER(E35+E36*E34),E35+E36*E34,"-")</f>
        <v>10641.533952200454</v>
      </c>
      <c r="F37" s="93">
        <f t="shared" si="12"/>
        <v>3914.0155133962276</v>
      </c>
      <c r="G37" s="93">
        <f t="shared" si="12"/>
        <v>8980.2347594997336</v>
      </c>
      <c r="H37" s="93">
        <f t="shared" si="12"/>
        <v>5240.9181827748271</v>
      </c>
      <c r="I37" s="93">
        <f t="shared" si="12"/>
        <v>6541.5826728250477</v>
      </c>
      <c r="J37" s="93">
        <f t="shared" si="12"/>
        <v>9956.9380875231654</v>
      </c>
      <c r="K37" s="93">
        <f t="shared" si="12"/>
        <v>11476.611356858448</v>
      </c>
      <c r="L37" s="93">
        <f t="shared" si="12"/>
        <v>15575.578447086758</v>
      </c>
      <c r="M37" s="93" t="str">
        <f t="shared" si="12"/>
        <v>-</v>
      </c>
      <c r="N37" s="93" t="str">
        <f t="shared" si="12"/>
        <v>-</v>
      </c>
      <c r="O37" s="93" t="str">
        <f t="shared" si="12"/>
        <v>-</v>
      </c>
      <c r="P37" s="93" t="str">
        <f t="shared" si="12"/>
        <v>-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" thickBot="1" x14ac:dyDescent="0.3">
      <c r="B38" s="95" t="s">
        <v>377</v>
      </c>
      <c r="C38" s="96"/>
      <c r="D38" s="97" t="s">
        <v>155</v>
      </c>
      <c r="E38" s="88">
        <f t="shared" ref="E38:X38" si="13">IF(ISNUMBER(E37/E34),E37/E34,"-")</f>
        <v>223.34083603383669</v>
      </c>
      <c r="F38" s="88">
        <f t="shared" si="13"/>
        <v>114.15878580738998</v>
      </c>
      <c r="G38" s="88">
        <f t="shared" si="13"/>
        <v>205.39898652047265</v>
      </c>
      <c r="H38" s="88">
        <f t="shared" si="13"/>
        <v>111.91544036133746</v>
      </c>
      <c r="I38" s="88">
        <f t="shared" si="13"/>
        <v>175.10023896875646</v>
      </c>
      <c r="J38" s="88">
        <f t="shared" si="13"/>
        <v>160.92021151552589</v>
      </c>
      <c r="K38" s="88">
        <f t="shared" si="13"/>
        <v>255.03580793018773</v>
      </c>
      <c r="L38" s="88">
        <f t="shared" si="13"/>
        <v>346.12396549081683</v>
      </c>
      <c r="M38" s="88" t="str">
        <f t="shared" si="13"/>
        <v>-</v>
      </c>
      <c r="N38" s="88" t="str">
        <f t="shared" si="13"/>
        <v>-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5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G31"/>
  <sheetViews>
    <sheetView showGridLines="0" zoomScaleNormal="100" workbookViewId="0"/>
  </sheetViews>
  <sheetFormatPr defaultColWidth="9.1796875" defaultRowHeight="12.5" x14ac:dyDescent="0.25"/>
  <cols>
    <col min="1" max="1" width="2.453125" style="2" customWidth="1"/>
    <col min="2" max="2" width="17.7265625" style="3" customWidth="1"/>
    <col min="3" max="3" width="15.7265625" style="408" customWidth="1"/>
    <col min="4" max="4" width="20.81640625" style="3" customWidth="1"/>
    <col min="5" max="12" width="15.7265625" style="3" customWidth="1"/>
    <col min="13" max="13" width="73.54296875" style="2" customWidth="1"/>
    <col min="14" max="16384" width="9.1796875" style="2"/>
  </cols>
  <sheetData>
    <row r="2" spans="2:33" ht="13.5" thickBot="1" x14ac:dyDescent="0.35">
      <c r="B2" s="1" t="s">
        <v>266</v>
      </c>
    </row>
    <row r="3" spans="2:33" ht="25.5" customHeight="1" x14ac:dyDescent="0.25">
      <c r="B3" s="409" t="s">
        <v>39</v>
      </c>
      <c r="C3" s="410" t="s">
        <v>167</v>
      </c>
      <c r="D3" s="410" t="s">
        <v>209</v>
      </c>
      <c r="E3" s="410" t="s">
        <v>164</v>
      </c>
      <c r="F3" s="410" t="s">
        <v>10</v>
      </c>
      <c r="G3" s="410" t="s">
        <v>165</v>
      </c>
      <c r="H3" s="410" t="s">
        <v>166</v>
      </c>
      <c r="I3" s="410" t="s">
        <v>181</v>
      </c>
      <c r="J3" s="410" t="s">
        <v>175</v>
      </c>
      <c r="K3" s="410" t="s">
        <v>173</v>
      </c>
      <c r="L3" s="410" t="s">
        <v>92</v>
      </c>
      <c r="M3" s="411" t="s">
        <v>170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" thickBot="1" x14ac:dyDescent="0.3">
      <c r="B4" s="413"/>
      <c r="C4" s="414"/>
      <c r="D4" s="414"/>
      <c r="E4" s="414"/>
      <c r="F4" s="414"/>
      <c r="G4" s="414" t="s">
        <v>41</v>
      </c>
      <c r="H4" s="414" t="s">
        <v>156</v>
      </c>
      <c r="I4" s="414" t="s">
        <v>180</v>
      </c>
      <c r="J4" s="414" t="s">
        <v>176</v>
      </c>
      <c r="K4" s="414" t="s">
        <v>13</v>
      </c>
      <c r="L4" s="414" t="s">
        <v>15</v>
      </c>
      <c r="M4" s="415" t="s">
        <v>172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5">
      <c r="B5" s="416" t="s">
        <v>168</v>
      </c>
      <c r="C5" s="417">
        <v>840</v>
      </c>
      <c r="D5" s="418" t="s">
        <v>161</v>
      </c>
      <c r="E5" s="418" t="s">
        <v>169</v>
      </c>
      <c r="F5" s="418" t="s">
        <v>141</v>
      </c>
      <c r="G5" s="419">
        <v>55</v>
      </c>
      <c r="H5" s="418">
        <v>120</v>
      </c>
      <c r="I5" s="418" t="s">
        <v>182</v>
      </c>
      <c r="J5" s="420">
        <v>25.5</v>
      </c>
      <c r="K5" s="419">
        <v>48.5</v>
      </c>
      <c r="L5" s="421">
        <v>90</v>
      </c>
      <c r="M5" s="422" t="s">
        <v>171</v>
      </c>
    </row>
    <row r="6" spans="2:33" x14ac:dyDescent="0.25">
      <c r="B6" s="423" t="s">
        <v>174</v>
      </c>
      <c r="C6" s="424">
        <v>844</v>
      </c>
      <c r="D6" s="425" t="s">
        <v>177</v>
      </c>
      <c r="E6" s="425" t="s">
        <v>169</v>
      </c>
      <c r="F6" s="425" t="s">
        <v>141</v>
      </c>
      <c r="G6" s="254">
        <v>75</v>
      </c>
      <c r="H6" s="425">
        <v>120</v>
      </c>
      <c r="I6" s="425" t="s">
        <v>179</v>
      </c>
      <c r="J6" s="426">
        <v>43.73</v>
      </c>
      <c r="K6" s="254">
        <v>84.4</v>
      </c>
      <c r="L6" s="427">
        <v>90</v>
      </c>
      <c r="M6" s="428" t="s">
        <v>178</v>
      </c>
    </row>
    <row r="7" spans="2:33" x14ac:dyDescent="0.25">
      <c r="B7" s="429" t="s">
        <v>183</v>
      </c>
      <c r="C7" s="430">
        <v>650</v>
      </c>
      <c r="D7" s="425" t="s">
        <v>203</v>
      </c>
      <c r="E7" s="425" t="s">
        <v>189</v>
      </c>
      <c r="F7" s="425" t="s">
        <v>142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221</v>
      </c>
    </row>
    <row r="8" spans="2:33" x14ac:dyDescent="0.25">
      <c r="B8" s="429" t="s">
        <v>184</v>
      </c>
      <c r="C8" s="424">
        <v>640</v>
      </c>
      <c r="D8" s="425" t="s">
        <v>203</v>
      </c>
      <c r="E8" s="425" t="s">
        <v>189</v>
      </c>
      <c r="F8" s="425" t="s">
        <v>142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220</v>
      </c>
    </row>
    <row r="9" spans="2:33" x14ac:dyDescent="0.25">
      <c r="B9" s="423" t="s">
        <v>185</v>
      </c>
      <c r="C9" s="430" t="s">
        <v>186</v>
      </c>
      <c r="D9" s="427" t="s">
        <v>213</v>
      </c>
      <c r="E9" s="425" t="s">
        <v>189</v>
      </c>
      <c r="F9" s="425" t="s">
        <v>142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219</v>
      </c>
    </row>
    <row r="10" spans="2:33" x14ac:dyDescent="0.25">
      <c r="B10" s="432" t="s">
        <v>212</v>
      </c>
      <c r="C10" s="424">
        <v>380</v>
      </c>
      <c r="D10" s="427" t="s">
        <v>213</v>
      </c>
      <c r="E10" s="425" t="s">
        <v>190</v>
      </c>
      <c r="F10" s="425" t="s">
        <v>142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204</v>
      </c>
    </row>
    <row r="11" spans="2:33" x14ac:dyDescent="0.25">
      <c r="B11" s="432" t="s">
        <v>214</v>
      </c>
      <c r="C11" s="424">
        <v>1216</v>
      </c>
      <c r="D11" s="427" t="s">
        <v>215</v>
      </c>
      <c r="E11" s="425" t="s">
        <v>190</v>
      </c>
      <c r="F11" s="425" t="s">
        <v>142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204</v>
      </c>
    </row>
    <row r="12" spans="2:33" x14ac:dyDescent="0.25">
      <c r="B12" s="423" t="s">
        <v>162</v>
      </c>
      <c r="C12" s="424">
        <v>383</v>
      </c>
      <c r="D12" s="427" t="s">
        <v>215</v>
      </c>
      <c r="E12" s="425" t="s">
        <v>190</v>
      </c>
      <c r="F12" s="425" t="s">
        <v>142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204</v>
      </c>
    </row>
    <row r="13" spans="2:33" x14ac:dyDescent="0.25">
      <c r="B13" s="423" t="s">
        <v>216</v>
      </c>
      <c r="C13" s="424" t="s">
        <v>217</v>
      </c>
      <c r="D13" s="427" t="s">
        <v>215</v>
      </c>
      <c r="E13" s="425" t="s">
        <v>187</v>
      </c>
      <c r="F13" s="425" t="s">
        <v>142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218</v>
      </c>
    </row>
    <row r="14" spans="2:33" x14ac:dyDescent="0.25">
      <c r="B14" s="423" t="s">
        <v>201</v>
      </c>
      <c r="C14" s="430" t="s">
        <v>191</v>
      </c>
      <c r="D14" s="425" t="s">
        <v>222</v>
      </c>
      <c r="E14" s="425" t="s">
        <v>188</v>
      </c>
      <c r="F14" s="425" t="s">
        <v>194</v>
      </c>
      <c r="G14" s="254">
        <v>55</v>
      </c>
      <c r="H14" s="425">
        <v>200</v>
      </c>
      <c r="I14" s="425" t="s">
        <v>194</v>
      </c>
      <c r="J14" s="426">
        <v>26.4</v>
      </c>
      <c r="K14" s="254">
        <v>47</v>
      </c>
      <c r="L14" s="427">
        <v>60</v>
      </c>
      <c r="M14" s="431" t="s">
        <v>286</v>
      </c>
    </row>
    <row r="15" spans="2:33" x14ac:dyDescent="0.25">
      <c r="B15" s="423" t="s">
        <v>202</v>
      </c>
      <c r="C15" s="430" t="s">
        <v>192</v>
      </c>
      <c r="D15" s="425" t="s">
        <v>222</v>
      </c>
      <c r="E15" s="425" t="s">
        <v>188</v>
      </c>
      <c r="F15" s="425" t="s">
        <v>194</v>
      </c>
      <c r="G15" s="254">
        <v>50</v>
      </c>
      <c r="H15" s="425">
        <v>200</v>
      </c>
      <c r="I15" s="425" t="s">
        <v>194</v>
      </c>
      <c r="J15" s="426">
        <v>26.4</v>
      </c>
      <c r="K15" s="254">
        <v>47</v>
      </c>
      <c r="L15" s="427">
        <v>60</v>
      </c>
      <c r="M15" s="431" t="s">
        <v>287</v>
      </c>
    </row>
    <row r="16" spans="2:33" x14ac:dyDescent="0.25">
      <c r="B16" s="423" t="s">
        <v>200</v>
      </c>
      <c r="C16" s="430" t="s">
        <v>193</v>
      </c>
      <c r="D16" s="425" t="s">
        <v>222</v>
      </c>
      <c r="E16" s="425" t="s">
        <v>188</v>
      </c>
      <c r="F16" s="425" t="s">
        <v>194</v>
      </c>
      <c r="G16" s="254">
        <v>65</v>
      </c>
      <c r="H16" s="425">
        <v>200</v>
      </c>
      <c r="I16" s="425" t="s">
        <v>194</v>
      </c>
      <c r="J16" s="426">
        <v>26.4</v>
      </c>
      <c r="K16" s="254">
        <v>49</v>
      </c>
      <c r="L16" s="427">
        <v>70</v>
      </c>
      <c r="M16" s="431" t="s">
        <v>199</v>
      </c>
    </row>
    <row r="17" spans="2:13" x14ac:dyDescent="0.25">
      <c r="B17" s="423" t="s">
        <v>196</v>
      </c>
      <c r="C17" s="427" t="s">
        <v>222</v>
      </c>
      <c r="D17" s="427" t="s">
        <v>222</v>
      </c>
      <c r="E17" s="425" t="s">
        <v>195</v>
      </c>
      <c r="F17" s="425" t="s">
        <v>194</v>
      </c>
      <c r="G17" s="254">
        <v>2.9</v>
      </c>
      <c r="H17" s="425">
        <v>120</v>
      </c>
      <c r="I17" s="425" t="s">
        <v>194</v>
      </c>
      <c r="J17" s="426">
        <v>19.64</v>
      </c>
      <c r="K17" s="254">
        <v>20</v>
      </c>
      <c r="L17" s="427">
        <v>50</v>
      </c>
      <c r="M17" s="431" t="s">
        <v>208</v>
      </c>
    </row>
    <row r="18" spans="2:13" x14ac:dyDescent="0.25">
      <c r="B18" s="423" t="s">
        <v>197</v>
      </c>
      <c r="C18" s="427" t="s">
        <v>222</v>
      </c>
      <c r="D18" s="427" t="s">
        <v>222</v>
      </c>
      <c r="E18" s="425" t="s">
        <v>195</v>
      </c>
      <c r="F18" s="425" t="s">
        <v>194</v>
      </c>
      <c r="G18" s="254">
        <v>3.2</v>
      </c>
      <c r="H18" s="425">
        <v>120</v>
      </c>
      <c r="I18" s="425" t="s">
        <v>194</v>
      </c>
      <c r="J18" s="426">
        <v>23.26</v>
      </c>
      <c r="K18" s="254">
        <v>26.5</v>
      </c>
      <c r="L18" s="427">
        <v>50</v>
      </c>
      <c r="M18" s="431" t="s">
        <v>292</v>
      </c>
    </row>
    <row r="19" spans="2:13" x14ac:dyDescent="0.25">
      <c r="B19" s="423" t="s">
        <v>207</v>
      </c>
      <c r="C19" s="427" t="s">
        <v>222</v>
      </c>
      <c r="D19" s="427" t="s">
        <v>222</v>
      </c>
      <c r="E19" s="425" t="s">
        <v>195</v>
      </c>
      <c r="F19" s="425" t="s">
        <v>194</v>
      </c>
      <c r="G19" s="254">
        <v>3.2</v>
      </c>
      <c r="H19" s="425">
        <v>120</v>
      </c>
      <c r="I19" s="425" t="s">
        <v>194</v>
      </c>
      <c r="J19" s="426">
        <v>16.5</v>
      </c>
      <c r="K19" s="254">
        <v>25</v>
      </c>
      <c r="L19" s="427">
        <v>50</v>
      </c>
      <c r="M19" s="431" t="s">
        <v>293</v>
      </c>
    </row>
    <row r="20" spans="2:13" x14ac:dyDescent="0.25">
      <c r="B20" s="423" t="s">
        <v>288</v>
      </c>
      <c r="C20" s="430">
        <v>761</v>
      </c>
      <c r="D20" s="425" t="s">
        <v>215</v>
      </c>
      <c r="E20" s="425" t="s">
        <v>198</v>
      </c>
      <c r="F20" s="425" t="s">
        <v>141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205</v>
      </c>
    </row>
    <row r="21" spans="2:13" x14ac:dyDescent="0.25">
      <c r="B21" s="423" t="s">
        <v>289</v>
      </c>
      <c r="C21" s="430">
        <v>744</v>
      </c>
      <c r="D21" s="425" t="s">
        <v>210</v>
      </c>
      <c r="E21" s="425" t="s">
        <v>198</v>
      </c>
      <c r="F21" s="425" t="s">
        <v>141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206</v>
      </c>
    </row>
    <row r="22" spans="2:13" x14ac:dyDescent="0.25">
      <c r="B22" s="423" t="s">
        <v>290</v>
      </c>
      <c r="C22" s="430" t="s">
        <v>305</v>
      </c>
      <c r="D22" s="425" t="s">
        <v>210</v>
      </c>
      <c r="E22" s="425" t="s">
        <v>198</v>
      </c>
      <c r="F22" s="425" t="s">
        <v>141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291</v>
      </c>
    </row>
    <row r="23" spans="2:13" x14ac:dyDescent="0.25">
      <c r="B23" s="423" t="s">
        <v>307</v>
      </c>
      <c r="C23" s="430" t="s">
        <v>306</v>
      </c>
      <c r="D23" s="425" t="s">
        <v>210</v>
      </c>
      <c r="E23" s="425" t="s">
        <v>198</v>
      </c>
      <c r="F23" s="425" t="s">
        <v>141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308</v>
      </c>
    </row>
    <row r="24" spans="2:13" x14ac:dyDescent="0.25">
      <c r="B24" s="449" t="s">
        <v>388</v>
      </c>
      <c r="C24" s="450"/>
      <c r="D24" s="451" t="s">
        <v>161</v>
      </c>
      <c r="E24" s="451" t="s">
        <v>189</v>
      </c>
      <c r="F24" s="451" t="s">
        <v>142</v>
      </c>
      <c r="G24" s="452">
        <v>250</v>
      </c>
      <c r="H24" s="451">
        <v>160</v>
      </c>
      <c r="I24" s="451">
        <v>2400</v>
      </c>
      <c r="J24" s="453">
        <v>101.7</v>
      </c>
      <c r="K24" s="452">
        <v>237</v>
      </c>
      <c r="L24" s="454">
        <v>90</v>
      </c>
      <c r="M24" s="455" t="s">
        <v>389</v>
      </c>
    </row>
    <row r="25" spans="2:13" x14ac:dyDescent="0.25">
      <c r="B25" s="456" t="s">
        <v>390</v>
      </c>
      <c r="C25" s="457">
        <v>223</v>
      </c>
      <c r="D25" s="451" t="s">
        <v>215</v>
      </c>
      <c r="E25" s="451" t="s">
        <v>198</v>
      </c>
      <c r="F25" s="451" t="s">
        <v>141</v>
      </c>
      <c r="G25" s="458">
        <v>90</v>
      </c>
      <c r="H25" s="451">
        <v>140</v>
      </c>
      <c r="I25" s="451">
        <v>2000</v>
      </c>
      <c r="J25" s="453">
        <v>19.28</v>
      </c>
      <c r="K25" s="458">
        <v>80</v>
      </c>
      <c r="L25" s="451">
        <v>80</v>
      </c>
      <c r="M25" s="455"/>
    </row>
    <row r="26" spans="2:13" x14ac:dyDescent="0.25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5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5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5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" thickBot="1" x14ac:dyDescent="0.3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35">
      <c r="B31" s="550" t="s">
        <v>211</v>
      </c>
      <c r="C31" s="551"/>
      <c r="D31" s="551"/>
      <c r="E31" s="551"/>
      <c r="F31" s="551"/>
      <c r="G31" s="551"/>
      <c r="H31" s="551"/>
      <c r="I31" s="551"/>
      <c r="J31" s="551"/>
      <c r="K31" s="551"/>
      <c r="L31" s="551"/>
      <c r="M31" s="552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Norbert Mondek</cp:lastModifiedBy>
  <cp:lastPrinted>2017-01-29T14:48:09Z</cp:lastPrinted>
  <dcterms:created xsi:type="dcterms:W3CDTF">2016-11-14T19:05:28Z</dcterms:created>
  <dcterms:modified xsi:type="dcterms:W3CDTF">2021-11-01T15:04:27Z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